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Vorlagen\Fragebogen\Deutsche Fragebogen\"/>
    </mc:Choice>
  </mc:AlternateContent>
  <xr:revisionPtr revIDLastSave="0" documentId="13_ncr:1_{A8C3A658-3458-40EC-891C-6A5031076D32}" xr6:coauthVersionLast="47" xr6:coauthVersionMax="47" xr10:uidLastSave="{00000000-0000-0000-0000-000000000000}"/>
  <bookViews>
    <workbookView xWindow="2205" yWindow="465" windowWidth="17265" windowHeight="14985" xr2:uid="{891488A2-895C-45AB-B81D-50CC6502C7DE}"/>
  </bookViews>
  <sheets>
    <sheet name="FR-BO" sheetId="2" r:id="rId1"/>
    <sheet name="Texte" sheetId="1" state="hidden" r:id="rId2"/>
  </sheets>
  <definedNames>
    <definedName name="_xlnm.Print_Area" localSheetId="0">'FR-BO'!$A$1:$V$238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" i="2" l="1"/>
  <c r="S186" i="2"/>
  <c r="S124" i="2"/>
  <c r="S80" i="2"/>
  <c r="S40" i="2"/>
  <c r="N97" i="2" l="1"/>
  <c r="Q97" i="2"/>
  <c r="K10" i="2"/>
  <c r="C29" i="2"/>
  <c r="C15" i="2"/>
  <c r="M28" i="2"/>
  <c r="H55" i="2"/>
  <c r="C87" i="2"/>
  <c r="R93" i="2"/>
  <c r="B116" i="2"/>
  <c r="C24" i="2"/>
  <c r="B36" i="2"/>
  <c r="C49" i="2"/>
  <c r="P55" i="2"/>
  <c r="Q84" i="2"/>
  <c r="I87" i="2"/>
  <c r="C91" i="2"/>
  <c r="E94" i="2"/>
  <c r="L97" i="2"/>
  <c r="N100" i="2"/>
  <c r="C108" i="2"/>
  <c r="H116" i="2"/>
  <c r="I119" i="2"/>
  <c r="G131" i="2"/>
  <c r="F22" i="2"/>
  <c r="L35" i="2"/>
  <c r="B84" i="2"/>
  <c r="I97" i="2"/>
  <c r="C131" i="2"/>
  <c r="M16" i="2"/>
  <c r="B30" i="2"/>
  <c r="B50" i="2"/>
  <c r="C85" i="2"/>
  <c r="M87" i="2"/>
  <c r="H94" i="2"/>
  <c r="C102" i="2"/>
  <c r="C109" i="2"/>
  <c r="M116" i="2"/>
  <c r="L119" i="2"/>
  <c r="C133" i="2"/>
  <c r="Q23" i="2"/>
  <c r="F119" i="2"/>
  <c r="C16" i="2"/>
  <c r="J22" i="2"/>
  <c r="N22" i="2"/>
  <c r="M24" i="2"/>
  <c r="K36" i="2"/>
  <c r="J56" i="2"/>
  <c r="B92" i="2"/>
  <c r="C17" i="2"/>
  <c r="Q22" i="2"/>
  <c r="C25" i="2"/>
  <c r="C32" i="2"/>
  <c r="C43" i="2"/>
  <c r="B51" i="2"/>
  <c r="N56" i="2"/>
  <c r="I85" i="2"/>
  <c r="C88" i="2"/>
  <c r="E92" i="2"/>
  <c r="K94" i="2"/>
  <c r="C103" i="2"/>
  <c r="C110" i="2"/>
  <c r="P116" i="2"/>
  <c r="O119" i="2"/>
  <c r="B227" i="2"/>
  <c r="R89" i="2"/>
  <c r="M17" i="2"/>
  <c r="B23" i="2"/>
  <c r="C26" i="2"/>
  <c r="C33" i="2"/>
  <c r="C44" i="2"/>
  <c r="C53" i="2"/>
  <c r="B59" i="2"/>
  <c r="M85" i="2"/>
  <c r="I88" i="2"/>
  <c r="I92" i="2"/>
  <c r="N94" i="2"/>
  <c r="C99" i="2"/>
  <c r="G103" i="2"/>
  <c r="C111" i="2"/>
  <c r="H117" i="2"/>
  <c r="C120" i="2"/>
  <c r="B228" i="2"/>
  <c r="K100" i="2"/>
  <c r="F23" i="2"/>
  <c r="C27" i="2"/>
  <c r="I33" i="2"/>
  <c r="I44" i="2"/>
  <c r="C54" i="2"/>
  <c r="J59" i="2"/>
  <c r="C86" i="2"/>
  <c r="M88" i="2"/>
  <c r="M92" i="2"/>
  <c r="C96" i="2"/>
  <c r="B100" i="2"/>
  <c r="C104" i="2"/>
  <c r="C112" i="2"/>
  <c r="M117" i="2"/>
  <c r="C127" i="2"/>
  <c r="B229" i="2"/>
  <c r="M18" i="2"/>
  <c r="B28" i="2"/>
  <c r="O44" i="2"/>
  <c r="P59" i="2"/>
  <c r="C89" i="2"/>
  <c r="Q92" i="2"/>
  <c r="C97" i="2"/>
  <c r="E100" i="2"/>
  <c r="G104" i="2"/>
  <c r="C113" i="2"/>
  <c r="B118" i="2"/>
  <c r="B128" i="2"/>
  <c r="B234" i="2"/>
  <c r="B47" i="2"/>
  <c r="C107" i="2"/>
  <c r="C18" i="2"/>
  <c r="J23" i="2"/>
  <c r="O33" i="2"/>
  <c r="I54" i="2"/>
  <c r="I86" i="2"/>
  <c r="B13" i="2"/>
  <c r="B22" i="2"/>
  <c r="N23" i="2"/>
  <c r="F28" i="2"/>
  <c r="C35" i="2"/>
  <c r="C46" i="2"/>
  <c r="Q54" i="2"/>
  <c r="C83" i="2"/>
  <c r="M86" i="2"/>
  <c r="I89" i="2"/>
  <c r="B93" i="2"/>
  <c r="F97" i="2"/>
  <c r="H100" i="2"/>
  <c r="G105" i="2"/>
  <c r="C115" i="2"/>
  <c r="C119" i="2"/>
  <c r="C130" i="2"/>
  <c r="B235" i="2"/>
  <c r="B8" i="2"/>
  <c r="B7" i="2"/>
  <c r="K8" i="2"/>
  <c r="K9" i="2"/>
  <c r="B10" i="2"/>
  <c r="B11" i="2"/>
  <c r="K7" i="2"/>
  <c r="B9" i="2"/>
  <c r="A6" i="2"/>
  <c r="Q13" i="2" l="1"/>
  <c r="L13" i="2"/>
  <c r="G13" i="2"/>
</calcChain>
</file>

<file path=xl/sharedStrings.xml><?xml version="1.0" encoding="utf-8"?>
<sst xmlns="http://schemas.openxmlformats.org/spreadsheetml/2006/main" count="467" uniqueCount="431">
  <si>
    <t>DE</t>
  </si>
  <si>
    <t>EN</t>
  </si>
  <si>
    <t>FR</t>
  </si>
  <si>
    <t>Fragebogen
Questionnaire</t>
  </si>
  <si>
    <t>Seite/page:</t>
  </si>
  <si>
    <t>Status: 12/2023</t>
  </si>
  <si>
    <t>Konfiguration Heftmaschine</t>
  </si>
  <si>
    <t>PLZ/Ort:</t>
  </si>
  <si>
    <t>Straße:</t>
  </si>
  <si>
    <t>Firma:</t>
  </si>
  <si>
    <t>Company:</t>
  </si>
  <si>
    <t>Street:</t>
  </si>
  <si>
    <t>Entreprise:</t>
  </si>
  <si>
    <t>ZIP / City:</t>
  </si>
  <si>
    <t>Zip Ville:</t>
  </si>
  <si>
    <t>Rue:</t>
  </si>
  <si>
    <t>Land:</t>
  </si>
  <si>
    <t>Country:</t>
  </si>
  <si>
    <t>Payse:</t>
  </si>
  <si>
    <t>Ansprechpartner:</t>
  </si>
  <si>
    <t>Name of contact:</t>
  </si>
  <si>
    <t>Personne de contact:</t>
  </si>
  <si>
    <t>Telefon:</t>
  </si>
  <si>
    <t>Telefone:</t>
  </si>
  <si>
    <t>Téléphone:</t>
  </si>
  <si>
    <t>Email:</t>
  </si>
  <si>
    <t>E-mail:</t>
  </si>
  <si>
    <t>Abteilung:</t>
  </si>
  <si>
    <t>Department:</t>
  </si>
  <si>
    <t>Département:</t>
  </si>
  <si>
    <t>Projekt:</t>
  </si>
  <si>
    <t>Project:</t>
  </si>
  <si>
    <t>Projet:</t>
  </si>
  <si>
    <t>Bitte füllen Sie den Fragebogen nach Ihren Angaben aus.
Es müssen nicht alle Felder ausgefüllt werden.</t>
  </si>
  <si>
    <t>Veuillez remplir le questionnaire selon vos informations.
Tous les champs ne doivent pas être remplis.</t>
  </si>
  <si>
    <t>Please fill out the questionnaire according to your information.
Not all fields need to be filled out.</t>
  </si>
  <si>
    <t>Heften</t>
  </si>
  <si>
    <t>Nageln</t>
  </si>
  <si>
    <t xml:space="preserve">Stapling </t>
  </si>
  <si>
    <t>Nailing</t>
  </si>
  <si>
    <t>Material</t>
  </si>
  <si>
    <t>A)</t>
  </si>
  <si>
    <t>Kategorie</t>
  </si>
  <si>
    <t>B)</t>
  </si>
  <si>
    <t>1:</t>
  </si>
  <si>
    <t>2:</t>
  </si>
  <si>
    <t xml:space="preserve">Kartonagen  </t>
  </si>
  <si>
    <t>Kunststoff</t>
  </si>
  <si>
    <t>Holz</t>
  </si>
  <si>
    <t>sonst:</t>
  </si>
  <si>
    <t>Carton</t>
  </si>
  <si>
    <t>Plastic</t>
  </si>
  <si>
    <t>Wood</t>
  </si>
  <si>
    <t>Others:</t>
  </si>
  <si>
    <t>Einfach-Wellpappe</t>
  </si>
  <si>
    <t>Doppel-Wellpappe</t>
  </si>
  <si>
    <t>Dreifach-Wellpappe</t>
  </si>
  <si>
    <t>Materiallagen:</t>
  </si>
  <si>
    <t>Materialdicke:</t>
  </si>
  <si>
    <t>zweifach</t>
  </si>
  <si>
    <t>dreifach</t>
  </si>
  <si>
    <t>-fach</t>
  </si>
  <si>
    <t>Klammerposition/en</t>
  </si>
  <si>
    <t>Skizze mit Angabe der Klammerposition/en; für jede Größe eine Skizze unter Pkt. P) 
(Bitte Bilder und Muster schicken!)</t>
  </si>
  <si>
    <t>Vollpappe</t>
  </si>
  <si>
    <t>Falls bekannt Stärke, bzw. FEFCO Nr. angeben.</t>
  </si>
  <si>
    <t>1 (mm):</t>
  </si>
  <si>
    <t>2 (mm):</t>
  </si>
  <si>
    <t>Ausführung</t>
  </si>
  <si>
    <t>Version</t>
  </si>
  <si>
    <t xml:space="preserve">Faltschachteln </t>
  </si>
  <si>
    <t>Stülpschachteln</t>
  </si>
  <si>
    <t>Kartontrays</t>
  </si>
  <si>
    <t>Andere Kartonagen</t>
  </si>
  <si>
    <t xml:space="preserve">Andere Artikel     </t>
  </si>
  <si>
    <t>(bitte genau definieren unter P) oder/und Bilder einfügen)</t>
  </si>
  <si>
    <t>C)</t>
  </si>
  <si>
    <t>Bodenverschluss</t>
  </si>
  <si>
    <t>Deckelverschluss</t>
  </si>
  <si>
    <t xml:space="preserve">Boden-/Deckel-Tray </t>
  </si>
  <si>
    <t>D)</t>
  </si>
  <si>
    <t>E)</t>
  </si>
  <si>
    <t>Karton mit Inhalt</t>
  </si>
  <si>
    <t>Inhalt:</t>
  </si>
  <si>
    <t>Gewicht:</t>
  </si>
  <si>
    <t>kg</t>
  </si>
  <si>
    <t>F)</t>
  </si>
  <si>
    <t>Größen</t>
  </si>
  <si>
    <t xml:space="preserve">Karton     </t>
  </si>
  <si>
    <t xml:space="preserve">Tray </t>
  </si>
  <si>
    <t>Sonstiges</t>
  </si>
  <si>
    <t>Klappenfaltung:</t>
  </si>
  <si>
    <t xml:space="preserve">außen                   </t>
  </si>
  <si>
    <r>
      <t>innen</t>
    </r>
    <r>
      <rPr>
        <b/>
        <sz val="11"/>
        <color theme="1"/>
        <rFont val="Open Sans"/>
        <family val="2"/>
      </rPr>
      <t xml:space="preserve"> </t>
    </r>
  </si>
  <si>
    <t>(bitte angeben 
unter P)</t>
  </si>
  <si>
    <t>1)</t>
  </si>
  <si>
    <t>2)</t>
  </si>
  <si>
    <t>Teilbezeichnung</t>
  </si>
  <si>
    <t>Karton/Tray</t>
  </si>
  <si>
    <t>Karton/-deckel/-boden</t>
  </si>
  <si>
    <t>K3
mm</t>
  </si>
  <si>
    <t>L
mm</t>
  </si>
  <si>
    <t>B
mm</t>
  </si>
  <si>
    <t>H
mm</t>
  </si>
  <si>
    <t>K1
mm</t>
  </si>
  <si>
    <t>K2
mm</t>
  </si>
  <si>
    <t>Vorgang</t>
  </si>
  <si>
    <t>Bemerkung</t>
  </si>
  <si>
    <t>Karton auffalten</t>
  </si>
  <si>
    <t xml:space="preserve">manuell  </t>
  </si>
  <si>
    <t>automatisch</t>
  </si>
  <si>
    <t>gleichzeitiger Boden- und Deckelverschluss der gefüllten Faltschachtel</t>
  </si>
  <si>
    <t>Karton befüllen</t>
  </si>
  <si>
    <t>erst Boden der leeren Faltschachtel verschließen, dann Faltschachtel befüllen 
dann Deckel der gefüllten Faltschachtel verschließen</t>
  </si>
  <si>
    <t>G)</t>
  </si>
  <si>
    <t xml:space="preserve">	Arbeitsablauf</t>
  </si>
  <si>
    <t>Anderen Ablauf definieren unter P)</t>
  </si>
  <si>
    <t>Klammermaterial/-größe</t>
  </si>
  <si>
    <t>Material:</t>
  </si>
  <si>
    <t>Stahl, verzinkt</t>
  </si>
  <si>
    <t>Stahl, verkupfert</t>
  </si>
  <si>
    <t>Edelstahl</t>
  </si>
  <si>
    <t xml:space="preserve">Rückenbreite: </t>
  </si>
  <si>
    <t>Zum Heften und Nageln</t>
  </si>
  <si>
    <t>Zum Heften</t>
  </si>
  <si>
    <t>H)</t>
  </si>
  <si>
    <t>9 mm</t>
  </si>
  <si>
    <t>13 mm</t>
  </si>
  <si>
    <t>20 mm</t>
  </si>
  <si>
    <t>36 mm</t>
  </si>
  <si>
    <t xml:space="preserve">sonst:  </t>
  </si>
  <si>
    <t>I)</t>
  </si>
  <si>
    <t>Anzahl Klammern</t>
  </si>
  <si>
    <t>Stck. pro</t>
  </si>
  <si>
    <t xml:space="preserve">Boden  </t>
  </si>
  <si>
    <t>Deckel</t>
  </si>
  <si>
    <t>Lasche</t>
  </si>
  <si>
    <t>Seite</t>
  </si>
  <si>
    <t>J)</t>
  </si>
  <si>
    <t>Arbeitsleistung/Taktzahl</t>
  </si>
  <si>
    <t xml:space="preserve">Anzahl: </t>
  </si>
  <si>
    <t>Stck.</t>
  </si>
  <si>
    <t>Minute</t>
  </si>
  <si>
    <t>Stunde</t>
  </si>
  <si>
    <t>K)</t>
  </si>
  <si>
    <t>Automatisierungsgrad</t>
  </si>
  <si>
    <t>mechanische Ausführung</t>
  </si>
  <si>
    <t>(manuell)</t>
  </si>
  <si>
    <t>Halbautomat (Einlegen/Entnehmen manuell)</t>
  </si>
  <si>
    <t>(pneumatische oder elektro-pneumatische Ausführung)</t>
  </si>
  <si>
    <t>Vollautomatikbetrieb</t>
  </si>
  <si>
    <t>(Elektro-pneumatische Ausführung)</t>
  </si>
  <si>
    <t>L)</t>
  </si>
  <si>
    <t>Wunschliefertermin</t>
  </si>
  <si>
    <t>Kalenderwoche/Jahr:</t>
  </si>
  <si>
    <t>Besondere interne Firmenvorschriften (Spezifikationen)</t>
  </si>
  <si>
    <t>keine</t>
  </si>
  <si>
    <t>ja, bitte mitsenden</t>
  </si>
  <si>
    <t>M)</t>
  </si>
  <si>
    <t>N)</t>
  </si>
  <si>
    <t>Anmerkungen/Skizzen/Sonstige Angaben</t>
  </si>
  <si>
    <t>Catégorie</t>
  </si>
  <si>
    <t xml:space="preserve">Agrafage </t>
  </si>
  <si>
    <t>Category</t>
  </si>
  <si>
    <t xml:space="preserve">Clouage </t>
  </si>
  <si>
    <t xml:space="preserve">Matériel </t>
  </si>
  <si>
    <t>carton</t>
  </si>
  <si>
    <t>plastique</t>
  </si>
  <si>
    <t>bois</t>
  </si>
  <si>
    <t>autre:</t>
  </si>
  <si>
    <t>Carton compact</t>
  </si>
  <si>
    <t>Carton ondulé simple</t>
  </si>
  <si>
    <t>Carton ondulé double</t>
  </si>
  <si>
    <t>Carton ondulé triple</t>
  </si>
  <si>
    <t>Épaisseur du matériel :</t>
  </si>
  <si>
    <t>Couches de matériaux :</t>
  </si>
  <si>
    <t xml:space="preserve">simple   </t>
  </si>
  <si>
    <t>double</t>
  </si>
  <si>
    <t xml:space="preserve">triple </t>
  </si>
  <si>
    <t>multiple</t>
  </si>
  <si>
    <t>Position des agrafes</t>
  </si>
  <si>
    <t xml:space="preserve">Croquis avec indication de la ou des positions des supports ; pour chaque format, un croquis sous le point P). </t>
  </si>
  <si>
    <t>(Veuillez envoyer des photos et des échantillons !)</t>
  </si>
  <si>
    <t>Solid board</t>
  </si>
  <si>
    <t>Single corrugated board</t>
  </si>
  <si>
    <t>Double corrugated board</t>
  </si>
  <si>
    <t>Triple corrugated board</t>
  </si>
  <si>
    <t>Material thickness:</t>
  </si>
  <si>
    <t>Material layers:</t>
  </si>
  <si>
    <t xml:space="preserve">single   </t>
  </si>
  <si>
    <t xml:space="preserve">double   </t>
  </si>
  <si>
    <t xml:space="preserve">triple  </t>
  </si>
  <si>
    <t>Staple position/s</t>
  </si>
  <si>
    <t>-fold</t>
  </si>
  <si>
    <t>Sketch with indication of staple position/s; for each size one sketch under point P). 
(Please send pictures and samples!)</t>
  </si>
  <si>
    <t>If known, indicate strength or FEFCO No.</t>
  </si>
  <si>
    <t>Folding boxes</t>
  </si>
  <si>
    <t>Telescope cartons</t>
  </si>
  <si>
    <t>Cardboard trays</t>
  </si>
  <si>
    <t>Other cardboard boxes</t>
  </si>
  <si>
    <t xml:space="preserve">Other articles     </t>
  </si>
  <si>
    <t>(please define exactly under P) or/and insert pictures)</t>
  </si>
  <si>
    <t>Art des Verschlusses</t>
  </si>
  <si>
    <t>Type of Closure</t>
  </si>
  <si>
    <t>Bottom closure</t>
  </si>
  <si>
    <t>Top closure</t>
  </si>
  <si>
    <t>Bottom/top tray</t>
  </si>
  <si>
    <t>Boîtes pliantes</t>
  </si>
  <si>
    <t>cartons de télescopes</t>
  </si>
  <si>
    <t>Plateaux en carton</t>
  </si>
  <si>
    <t>Autres boîtes en carton</t>
  </si>
  <si>
    <t xml:space="preserve">Autres articles     </t>
  </si>
  <si>
    <t>(veuillez définir exactement sous P) ou/et insérer des photos)</t>
  </si>
  <si>
    <t>Le type de Fermeture</t>
  </si>
  <si>
    <t>Fermeture du fond</t>
  </si>
  <si>
    <t>Fermeture du couvercle</t>
  </si>
  <si>
    <t>Plateau inférieur/couvercle</t>
  </si>
  <si>
    <t>Carton avec contenu</t>
  </si>
  <si>
    <t>Poids :</t>
  </si>
  <si>
    <t>le contenu :</t>
  </si>
  <si>
    <t>Tailles:</t>
  </si>
  <si>
    <t>Tray</t>
  </si>
  <si>
    <t>Autre</t>
  </si>
  <si>
    <t>Pliage du rabat :</t>
  </si>
  <si>
    <t xml:space="preserve">extérieur </t>
  </si>
  <si>
    <t>intérieur</t>
  </si>
  <si>
    <t>(veuillez préciser 
sous P)</t>
  </si>
  <si>
    <t>Carton with content</t>
  </si>
  <si>
    <t>Weight:</t>
  </si>
  <si>
    <t>Content:</t>
  </si>
  <si>
    <t>Sizes</t>
  </si>
  <si>
    <t xml:space="preserve">Carton   </t>
  </si>
  <si>
    <t>Others</t>
  </si>
  <si>
    <t>Flap folding:</t>
  </si>
  <si>
    <t xml:space="preserve">outside                   </t>
  </si>
  <si>
    <t xml:space="preserve">inside </t>
  </si>
  <si>
    <t>(please specify under P)</t>
  </si>
  <si>
    <t>Part designation</t>
  </si>
  <si>
    <t xml:space="preserve">Carton/tray	</t>
  </si>
  <si>
    <t>Carton/top/bottom</t>
  </si>
  <si>
    <t>Process</t>
  </si>
  <si>
    <t>Workflow</t>
  </si>
  <si>
    <t>Comment</t>
  </si>
  <si>
    <t>Unfold cardboard</t>
  </si>
  <si>
    <t xml:space="preserve">manual  </t>
  </si>
  <si>
    <t>automatic</t>
  </si>
  <si>
    <t>Fold carton bottom</t>
  </si>
  <si>
    <t>Filling the carton</t>
  </si>
  <si>
    <t>simultaneous bottom and lid closure of the filled folding box</t>
  </si>
  <si>
    <t>first close the bottom of the empty folding box, then fill the folding box then close the lid of the filled folding box</t>
  </si>
  <si>
    <t>Define other sequence under P)</t>
  </si>
  <si>
    <t>Désignation du carton</t>
  </si>
  <si>
    <t>Carton/plateau</t>
  </si>
  <si>
    <t>Carton/couvercle/fond</t>
  </si>
  <si>
    <t>Déroulement de travail</t>
  </si>
  <si>
    <t>Procédé</t>
  </si>
  <si>
    <t>Commentaire</t>
  </si>
  <si>
    <t>Déplier le carton</t>
  </si>
  <si>
    <t xml:space="preserve">manuel  </t>
  </si>
  <si>
    <t>automatique</t>
  </si>
  <si>
    <t>Plier le fond du carton</t>
  </si>
  <si>
    <t>Remplissage du carton</t>
  </si>
  <si>
    <t xml:space="preserve">Plier le couvercle du carton </t>
  </si>
  <si>
    <t>Fold carton lid</t>
  </si>
  <si>
    <t>Fermer d’abord le fond de la boîte pliante vide, puis remplir la boîte pliante. puis fermer le couvercle de la boîte pliante remplie</t>
  </si>
  <si>
    <t>Définir une autre séquence sous P)</t>
  </si>
  <si>
    <t>Matériau/taille des agrafes</t>
  </si>
  <si>
    <t>Matériau:</t>
  </si>
  <si>
    <t>Acier, cuivré</t>
  </si>
  <si>
    <t>Acier, galvanisé</t>
  </si>
  <si>
    <t>Acier inoxydable</t>
  </si>
  <si>
    <t xml:space="preserve">Doslargeur: </t>
  </si>
  <si>
    <t>Pour agrafer et clouer</t>
  </si>
  <si>
    <t>Pour agrafer</t>
  </si>
  <si>
    <t xml:space="preserve">autre.:  </t>
  </si>
  <si>
    <t>Nombre d'agrafes</t>
  </si>
  <si>
    <t>pcs. par</t>
  </si>
  <si>
    <t xml:space="preserve">Fond  </t>
  </si>
  <si>
    <t>Couvercle</t>
  </si>
  <si>
    <t>Rabat</t>
  </si>
  <si>
    <t>Côté</t>
  </si>
  <si>
    <t>Capacité de travail/nombre de cycles</t>
  </si>
  <si>
    <t>Quantité :</t>
  </si>
  <si>
    <t>pièces</t>
  </si>
  <si>
    <t>minute</t>
  </si>
  <si>
    <t>heure</t>
  </si>
  <si>
    <t>Degré d'automatisation</t>
  </si>
  <si>
    <t>version mécanique</t>
  </si>
  <si>
    <t>(manuel)</t>
  </si>
  <si>
    <t>Semi-automatique (insertion/retrait manuel)</t>
  </si>
  <si>
    <t>(version pneumatique ou électro-pneumatique)</t>
  </si>
  <si>
    <t>Fonctionnement entièrement automatique</t>
  </si>
  <si>
    <t>(version électro-pneumatique)</t>
  </si>
  <si>
    <t>Date de livraison demandée</t>
  </si>
  <si>
    <t>Semaine calendaire/année</t>
  </si>
  <si>
    <t>Règles internes spéciales de l'entreprise (cahier des charges)</t>
  </si>
  <si>
    <t>aucun</t>
  </si>
  <si>
    <t>oui, veuillez joindre des documents</t>
  </si>
  <si>
    <t>Notes/croquis/autres informations</t>
  </si>
  <si>
    <t>Einstellung auf andere Größen</t>
  </si>
  <si>
    <t>chaotisch</t>
  </si>
  <si>
    <t>in Serie</t>
  </si>
  <si>
    <t>(unterschiedliche Größen)</t>
  </si>
  <si>
    <t>(gleiche Größe hintereinander)</t>
  </si>
  <si>
    <t>Heftmaschine soll auf die unterschiedlichen Größen eingestellt werden:</t>
  </si>
  <si>
    <t xml:space="preserve">manuell               </t>
  </si>
  <si>
    <t xml:space="preserve">x pro </t>
  </si>
  <si>
    <t>Schicht</t>
  </si>
  <si>
    <t>Tag</t>
  </si>
  <si>
    <t>sonst.:</t>
  </si>
  <si>
    <t xml:space="preserve">Aufbau </t>
  </si>
  <si>
    <t>fahrbar</t>
  </si>
  <si>
    <t>feststehend</t>
  </si>
  <si>
    <t>freistehend</t>
  </si>
  <si>
    <t xml:space="preserve">in bestehende Linie integrieren </t>
  </si>
  <si>
    <t>(bitte genaue Angaben)</t>
  </si>
  <si>
    <t>Adaptation à d'autres tailles</t>
  </si>
  <si>
    <t>M</t>
  </si>
  <si>
    <t>mobile</t>
  </si>
  <si>
    <t>Concetion</t>
  </si>
  <si>
    <t>fixe</t>
  </si>
  <si>
    <t>autonome</t>
  </si>
  <si>
    <t xml:space="preserve">intégrer dans une ligne existante </t>
  </si>
  <si>
    <t>(veuillez préciser)</t>
  </si>
  <si>
    <t>K</t>
  </si>
  <si>
    <t>chaotiquement</t>
  </si>
  <si>
    <t>en série</t>
  </si>
  <si>
    <t>(différentes tailles l'une après l'autre)</t>
  </si>
  <si>
    <t>(même taille l'une après)</t>
  </si>
  <si>
    <t>La machine à agrafer doit être adaptée aux différentes tailles :</t>
  </si>
  <si>
    <t xml:space="preserve">manuel               </t>
  </si>
  <si>
    <t>x par</t>
  </si>
  <si>
    <t>poste</t>
  </si>
  <si>
    <t>jour</t>
  </si>
  <si>
    <t>autre.:</t>
  </si>
  <si>
    <t>N</t>
  </si>
  <si>
    <t>L</t>
  </si>
  <si>
    <t>I</t>
  </si>
  <si>
    <t>H</t>
  </si>
  <si>
    <t>E</t>
  </si>
  <si>
    <t>F</t>
  </si>
  <si>
    <t>A</t>
  </si>
  <si>
    <t>C</t>
  </si>
  <si>
    <t>P</t>
  </si>
  <si>
    <t>G</t>
  </si>
  <si>
    <t>O</t>
  </si>
  <si>
    <t>B</t>
  </si>
  <si>
    <t>D</t>
  </si>
  <si>
    <t>J</t>
  </si>
  <si>
    <t>Staple material/size</t>
  </si>
  <si>
    <t>Steel, copper plated</t>
  </si>
  <si>
    <t>Steel, galvanised</t>
  </si>
  <si>
    <t>Stainless steel</t>
  </si>
  <si>
    <t>other:</t>
  </si>
  <si>
    <t xml:space="preserve">Crown size: </t>
  </si>
  <si>
    <t>For stapling and nailing</t>
  </si>
  <si>
    <t>For stapling</t>
  </si>
  <si>
    <t>Number of staples</t>
  </si>
  <si>
    <t>pcs. Per</t>
  </si>
  <si>
    <t>Bottom</t>
  </si>
  <si>
    <t>Side</t>
  </si>
  <si>
    <t>Working capacity/cycle number</t>
  </si>
  <si>
    <t>Quantity:</t>
  </si>
  <si>
    <t>hour</t>
  </si>
  <si>
    <t>Degree of automation</t>
  </si>
  <si>
    <t>mechanical version</t>
  </si>
  <si>
    <t>(manual)</t>
  </si>
  <si>
    <t>Semi-automatic (manual insertion/removal)</t>
  </si>
  <si>
    <t>(pneumatic or electro-pneumatic version)</t>
  </si>
  <si>
    <t>Fully automatic operation</t>
  </si>
  <si>
    <t>(electro-pneumatic version)</t>
  </si>
  <si>
    <t>Requested delivery date</t>
  </si>
  <si>
    <t>Calendar week/year:</t>
  </si>
  <si>
    <t>Special internal company rules (specifications)</t>
  </si>
  <si>
    <t>none</t>
  </si>
  <si>
    <t>yes, please send documents</t>
  </si>
  <si>
    <t>Notes/sketches/other information</t>
  </si>
  <si>
    <t xml:space="preserve">Design </t>
  </si>
  <si>
    <t>fix location</t>
  </si>
  <si>
    <t>free-standing</t>
  </si>
  <si>
    <t xml:space="preserve">integrate into existing line </t>
  </si>
  <si>
    <t>(please specify)</t>
  </si>
  <si>
    <t>Adjustment to other sizes</t>
  </si>
  <si>
    <t>chaotically</t>
  </si>
  <si>
    <t>in series</t>
  </si>
  <si>
    <t>pieces</t>
  </si>
  <si>
    <t>(different sizes one after the other)</t>
  </si>
  <si>
    <t>(same size one after the other)</t>
  </si>
  <si>
    <t>Stapling machine should be adjusted to the different sizes:</t>
  </si>
  <si>
    <t xml:space="preserve">manuell              </t>
  </si>
  <si>
    <t xml:space="preserve">x per </t>
  </si>
  <si>
    <t>shift</t>
  </si>
  <si>
    <t>day</t>
  </si>
  <si>
    <t>O)</t>
  </si>
  <si>
    <t>P)</t>
  </si>
  <si>
    <t>Hiermit willige ich ein, dass meine Daten gespeichert werden.
Zur Löschung Ihrer Daten kontaktieren Sie uns bitte unter info@mezger.eu</t>
  </si>
  <si>
    <t>Senden Sie bitte Muster der verschiedenen Größen,
damit wir die richtige Heftklammer bestimmen können.</t>
  </si>
  <si>
    <t>Fragebogen bitte ausgefüllt zurücksenden an:</t>
  </si>
  <si>
    <t>Vielen Dank für Ihre Bemühungen</t>
  </si>
  <si>
    <t>Ihr MEZGER-Team</t>
  </si>
  <si>
    <t>MEZGER Heftsysteme GmbH</t>
  </si>
  <si>
    <t>Saganer Staße 24</t>
  </si>
  <si>
    <t>D-90 475 Nürnberg</t>
  </si>
  <si>
    <t>Germany</t>
  </si>
  <si>
    <t>Mail: info@mezger.eu</t>
  </si>
  <si>
    <t>Tel.: +49 (0)911 98494 0</t>
  </si>
  <si>
    <t>Fax: +49 (0)911 98494 30</t>
  </si>
  <si>
    <r>
      <t>Copyright</t>
    </r>
    <r>
      <rPr>
        <vertAlign val="superscript"/>
        <sz val="8"/>
        <color rgb="FF323E4F"/>
        <rFont val="Open Sans"/>
        <family val="2"/>
      </rPr>
      <t>©</t>
    </r>
    <r>
      <rPr>
        <b/>
        <sz val="8"/>
        <color rgb="FF323E4F"/>
        <rFont val="Open Sans"/>
        <family val="2"/>
      </rPr>
      <t xml:space="preserve"> by </t>
    </r>
    <r>
      <rPr>
        <b/>
        <sz val="8"/>
        <color rgb="FF323E4F"/>
        <rFont val="Arial"/>
        <family val="2"/>
      </rPr>
      <t>MEZGER Heftsyteme GmbH</t>
    </r>
    <r>
      <rPr>
        <b/>
        <sz val="8"/>
        <color rgb="FF323E4F"/>
        <rFont val="Open Sans"/>
        <family val="2"/>
      </rPr>
      <t>, Nürnberg, Germany</t>
    </r>
  </si>
  <si>
    <t xml:space="preserve">I hereby agree that my personal data are stored.
	To delete your data, please contact us under info@mezger.eu </t>
  </si>
  <si>
    <t>Please return the completed questionnaire to:</t>
  </si>
  <si>
    <t>Thank you for your efforts</t>
  </si>
  <si>
    <t>Your MEZGER-Team</t>
  </si>
  <si>
    <t>Je consens par la présente à ce que mes données soient mémorisées.
	Pour supprimer vos données, veuillez nous contacter à l'adresse info@mezger.eu.</t>
  </si>
  <si>
    <t>Veuillez envoyer des échantillons des différentes tailles,
afin que nous puissions déterminer l'agrafe correcte.</t>
  </si>
  <si>
    <t>Veuillez remplir et renvoyer le questionnaire à</t>
  </si>
  <si>
    <t>Merci pour vos efforts</t>
  </si>
  <si>
    <t>Votre équipe MEZGER</t>
  </si>
  <si>
    <t>Please sent samples of the different sizes, so that we can determine 
the correct staple.</t>
  </si>
  <si>
    <t xml:space="preserve">Wähle Sprache DE       / Choose language EN       / Choisissez la langue FR  </t>
  </si>
  <si>
    <t>Kartonboden zufalten</t>
  </si>
  <si>
    <t>Kartondeckel zufalten</t>
  </si>
  <si>
    <t xml:space="preserve">Configuration stapling / nailing machine </t>
  </si>
  <si>
    <t>pcs. per</t>
  </si>
  <si>
    <t>Top</t>
  </si>
  <si>
    <t>Flap</t>
  </si>
  <si>
    <t>Heftgutgrößen kommen:</t>
  </si>
  <si>
    <t>Article sizes come:</t>
  </si>
  <si>
    <t>Les tailles d'agrafes viennent:</t>
  </si>
  <si>
    <t>Configuration de la machine à agrafer</t>
  </si>
  <si>
    <t>vbn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</si>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</sst>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20"/>
      <color theme="1"/>
      <name val="Open Sans"/>
      <family val="2"/>
    </font>
    <font>
      <b/>
      <u/>
      <sz val="26"/>
      <color theme="1"/>
      <name val="Open Sans"/>
      <family val="2"/>
    </font>
    <font>
      <b/>
      <sz val="12"/>
      <color theme="1"/>
      <name val="Open Sans"/>
      <family val="2"/>
    </font>
    <font>
      <b/>
      <sz val="16"/>
      <color theme="1"/>
      <name val="Open Sans"/>
      <family val="2"/>
    </font>
    <font>
      <b/>
      <sz val="14"/>
      <color theme="1"/>
      <name val="Open Sans"/>
      <family val="2"/>
    </font>
    <font>
      <sz val="12"/>
      <color theme="1"/>
      <name val="Open Sans"/>
      <family val="2"/>
    </font>
    <font>
      <sz val="9"/>
      <color theme="1"/>
      <name val="Open Sans"/>
      <family val="2"/>
    </font>
    <font>
      <sz val="8"/>
      <color theme="1"/>
      <name val="Open Sans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Open Sans"/>
      <family val="2"/>
    </font>
    <font>
      <sz val="12"/>
      <color theme="1"/>
      <name val="Calibri"/>
      <family val="2"/>
      <scheme val="minor"/>
    </font>
    <font>
      <sz val="11"/>
      <color theme="1"/>
      <name val="Segoe UI Symbol"/>
      <family val="2"/>
    </font>
    <font>
      <sz val="10"/>
      <color theme="1"/>
      <name val="Open Sans"/>
      <family val="2"/>
    </font>
    <font>
      <b/>
      <sz val="11"/>
      <color rgb="FF323E4F"/>
      <name val="Open Sans"/>
      <family val="2"/>
    </font>
    <font>
      <sz val="11"/>
      <color rgb="FF323E4F"/>
      <name val="Open Sans"/>
      <family val="2"/>
    </font>
    <font>
      <b/>
      <sz val="14"/>
      <color rgb="FF002060"/>
      <name val="Arial"/>
      <family val="2"/>
    </font>
    <font>
      <sz val="14"/>
      <color theme="1"/>
      <name val="Open Sans"/>
      <family val="2"/>
    </font>
    <font>
      <b/>
      <sz val="8"/>
      <color rgb="FF323E4F"/>
      <name val="Open Sans"/>
      <family val="2"/>
    </font>
    <font>
      <vertAlign val="superscript"/>
      <sz val="8"/>
      <color rgb="FF323E4F"/>
      <name val="Open Sans"/>
      <family val="2"/>
    </font>
    <font>
      <b/>
      <sz val="8"/>
      <color rgb="FF323E4F"/>
      <name val="Arial"/>
      <family val="2"/>
    </font>
    <font>
      <b/>
      <sz val="20"/>
      <color rgb="FF0070C0"/>
      <name val="Open Sans"/>
      <family val="2"/>
    </font>
    <font>
      <b/>
      <i/>
      <sz val="14"/>
      <color theme="1"/>
      <name val="Open Sans"/>
      <family val="2"/>
    </font>
    <font>
      <sz val="12"/>
      <color theme="7" tint="0.3999755851924192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quotePrefix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/>
    <xf numFmtId="0" fontId="1" fillId="0" borderId="11" xfId="0" applyFont="1" applyBorder="1"/>
    <xf numFmtId="0" fontId="7" fillId="0" borderId="13" xfId="0" applyFont="1" applyBorder="1" applyAlignment="1">
      <alignment vertical="center"/>
    </xf>
    <xf numFmtId="0" fontId="1" fillId="0" borderId="15" xfId="0" applyFont="1" applyBorder="1"/>
    <xf numFmtId="0" fontId="1" fillId="0" borderId="16" xfId="0" applyFont="1" applyBorder="1"/>
    <xf numFmtId="0" fontId="1" fillId="0" borderId="18" xfId="0" applyFont="1" applyBorder="1" applyAlignment="1">
      <alignment vertical="center"/>
    </xf>
    <xf numFmtId="0" fontId="1" fillId="0" borderId="20" xfId="0" quotePrefix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quotePrefix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9" xfId="0" applyFont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right"/>
    </xf>
    <xf numFmtId="0" fontId="1" fillId="0" borderId="19" xfId="0" applyFont="1" applyBorder="1" applyAlignment="1">
      <alignment wrapText="1"/>
    </xf>
    <xf numFmtId="0" fontId="8" fillId="0" borderId="0" xfId="0" applyFont="1" applyAlignment="1">
      <alignment vertical="top" wrapText="1"/>
    </xf>
    <xf numFmtId="0" fontId="1" fillId="0" borderId="9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" fillId="0" borderId="17" xfId="0" applyFont="1" applyBorder="1"/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25" xfId="0" applyFont="1" applyBorder="1" applyAlignment="1">
      <alignment vertical="center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1" fillId="0" borderId="29" xfId="0" applyFont="1" applyBorder="1" applyProtection="1">
      <protection locked="0"/>
    </xf>
    <xf numFmtId="0" fontId="1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4" borderId="9" xfId="0" applyFont="1" applyFill="1" applyBorder="1" applyAlignment="1" applyProtection="1">
      <alignment horizontal="left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17" fontId="1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2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4" borderId="11" xfId="0" quotePrefix="1" applyFont="1" applyFill="1" applyBorder="1" applyAlignment="1" applyProtection="1">
      <alignment horizontal="left" vertical="center"/>
      <protection locked="0"/>
    </xf>
    <xf numFmtId="0" fontId="1" fillId="4" borderId="12" xfId="0" quotePrefix="1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23" xfId="0" applyFont="1" applyFill="1" applyBorder="1" applyAlignment="1">
      <alignment horizontal="center" vertical="center" textRotation="90" wrapText="1"/>
    </xf>
    <xf numFmtId="0" fontId="1" fillId="4" borderId="18" xfId="0" quotePrefix="1" applyFont="1" applyFill="1" applyBorder="1" applyAlignment="1" applyProtection="1">
      <alignment horizontal="left" vertical="center"/>
      <protection locked="0"/>
    </xf>
    <xf numFmtId="0" fontId="1" fillId="4" borderId="20" xfId="0" quotePrefix="1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18" fillId="4" borderId="19" xfId="0" applyFont="1" applyFill="1" applyBorder="1" applyAlignment="1" applyProtection="1">
      <alignment horizontal="left" vertical="center"/>
      <protection locked="0"/>
    </xf>
    <xf numFmtId="0" fontId="18" fillId="4" borderId="18" xfId="0" applyFont="1" applyFill="1" applyBorder="1" applyAlignment="1" applyProtection="1">
      <alignment horizontal="left" vertical="center"/>
      <protection locked="0"/>
    </xf>
    <xf numFmtId="0" fontId="18" fillId="4" borderId="20" xfId="0" applyFont="1" applyFill="1" applyBorder="1" applyAlignment="1" applyProtection="1">
      <alignment horizontal="left" vertical="center"/>
      <protection locked="0"/>
    </xf>
    <xf numFmtId="0" fontId="18" fillId="4" borderId="9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4" borderId="18" xfId="0" applyFont="1" applyFill="1" applyBorder="1" applyAlignment="1" applyProtection="1">
      <alignment horizontal="right" vertical="center"/>
      <protection locked="0"/>
    </xf>
    <xf numFmtId="0" fontId="1" fillId="4" borderId="16" xfId="0" applyFont="1" applyFill="1" applyBorder="1" applyAlignment="1" applyProtection="1">
      <alignment horizontal="left" vertical="center"/>
      <protection locked="0"/>
    </xf>
    <xf numFmtId="0" fontId="1" fillId="4" borderId="17" xfId="0" applyFont="1" applyFill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left" vertical="top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14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" fillId="4" borderId="19" xfId="0" applyFont="1" applyFill="1" applyBorder="1" applyAlignment="1" applyProtection="1">
      <alignment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24" fillId="2" borderId="3" xfId="0" applyFont="1" applyFill="1" applyBorder="1" applyProtection="1">
      <protection locked="0"/>
    </xf>
    <xf numFmtId="0" fontId="24" fillId="2" borderId="4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Radio" checked="Checked" firstButton="1" fmlaLink="'FR-BO'!$V$5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Radio" lockText="1"/>
</file>

<file path=xl/ctrlProps/ctrlProp81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tiff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tiff"/><Relationship Id="rId14" Type="http://schemas.openxmlformats.org/officeDocument/2006/relationships/image" Target="../media/image1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57150</xdr:colOff>
      <xdr:row>15</xdr:row>
      <xdr:rowOff>63953</xdr:rowOff>
    </xdr:from>
    <xdr:to>
      <xdr:col>20</xdr:col>
      <xdr:colOff>171450</xdr:colOff>
      <xdr:row>18</xdr:row>
      <xdr:rowOff>197108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829" y="4649560"/>
          <a:ext cx="1815192" cy="881548"/>
        </a:xfrm>
        <a:prstGeom prst="rect">
          <a:avLst/>
        </a:prstGeom>
      </xdr:spPr>
    </xdr:pic>
    <xdr:clientData/>
  </xdr:twoCellAnchor>
  <xdr:twoCellAnchor editAs="oneCell">
    <xdr:from>
      <xdr:col>0</xdr:col>
      <xdr:colOff>93223</xdr:colOff>
      <xdr:row>0</xdr:row>
      <xdr:rowOff>47625</xdr:rowOff>
    </xdr:from>
    <xdr:to>
      <xdr:col>10</xdr:col>
      <xdr:colOff>114788</xdr:colOff>
      <xdr:row>3</xdr:row>
      <xdr:rowOff>142976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41"/>
        <a:stretch/>
      </xdr:blipFill>
      <xdr:spPr>
        <a:xfrm>
          <a:off x="93223" y="47625"/>
          <a:ext cx="3628905" cy="7276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14</xdr:row>
          <xdr:rowOff>228600</xdr:rowOff>
        </xdr:from>
        <xdr:to>
          <xdr:col>1</xdr:col>
          <xdr:colOff>333375</xdr:colOff>
          <xdr:row>16</xdr:row>
          <xdr:rowOff>66675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0</xdr:colOff>
      <xdr:row>15</xdr:row>
      <xdr:rowOff>47624</xdr:rowOff>
    </xdr:from>
    <xdr:to>
      <xdr:col>10</xdr:col>
      <xdr:colOff>304366</xdr:colOff>
      <xdr:row>18</xdr:row>
      <xdr:rowOff>139700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4695824"/>
          <a:ext cx="2018866" cy="828675"/>
        </a:xfrm>
        <a:prstGeom prst="rect">
          <a:avLst/>
        </a:prstGeom>
      </xdr:spPr>
    </xdr:pic>
    <xdr:clientData/>
  </xdr:twoCellAnchor>
  <xdr:twoCellAnchor>
    <xdr:from>
      <xdr:col>4</xdr:col>
      <xdr:colOff>152400</xdr:colOff>
      <xdr:row>16</xdr:row>
      <xdr:rowOff>19050</xdr:rowOff>
    </xdr:from>
    <xdr:to>
      <xdr:col>5</xdr:col>
      <xdr:colOff>133350</xdr:colOff>
      <xdr:row>16</xdr:row>
      <xdr:rowOff>114300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cxnSpLocks/>
        </xdr:cNvCxnSpPr>
      </xdr:nvCxnSpPr>
      <xdr:spPr>
        <a:xfrm flipV="1">
          <a:off x="1524000" y="4895850"/>
          <a:ext cx="323850" cy="952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17</xdr:row>
      <xdr:rowOff>19050</xdr:rowOff>
    </xdr:from>
    <xdr:to>
      <xdr:col>5</xdr:col>
      <xdr:colOff>142875</xdr:colOff>
      <xdr:row>17</xdr:row>
      <xdr:rowOff>114300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/>
        </xdr:cNvCxnSpPr>
      </xdr:nvCxnSpPr>
      <xdr:spPr>
        <a:xfrm flipV="1">
          <a:off x="1533525" y="5124450"/>
          <a:ext cx="323850" cy="952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14</xdr:row>
          <xdr:rowOff>228600</xdr:rowOff>
        </xdr:from>
        <xdr:to>
          <xdr:col>11</xdr:col>
          <xdr:colOff>333375</xdr:colOff>
          <xdr:row>16</xdr:row>
          <xdr:rowOff>66675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152400</xdr:colOff>
      <xdr:row>15</xdr:row>
      <xdr:rowOff>180975</xdr:rowOff>
    </xdr:from>
    <xdr:to>
      <xdr:col>15</xdr:col>
      <xdr:colOff>114300</xdr:colOff>
      <xdr:row>16</xdr:row>
      <xdr:rowOff>114300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cxnSpLocks/>
        </xdr:cNvCxnSpPr>
      </xdr:nvCxnSpPr>
      <xdr:spPr>
        <a:xfrm flipV="1">
          <a:off x="4610100" y="4829175"/>
          <a:ext cx="304800" cy="1619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161925</xdr:colOff>
      <xdr:row>17</xdr:row>
      <xdr:rowOff>19050</xdr:rowOff>
    </xdr:from>
    <xdr:to>
      <xdr:col>15</xdr:col>
      <xdr:colOff>142875</xdr:colOff>
      <xdr:row>17</xdr:row>
      <xdr:rowOff>114300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cxnSpLocks/>
        </xdr:cNvCxnSpPr>
      </xdr:nvCxnSpPr>
      <xdr:spPr>
        <a:xfrm flipV="1">
          <a:off x="4619625" y="5124450"/>
          <a:ext cx="323850" cy="952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20</xdr:row>
          <xdr:rowOff>247650</xdr:rowOff>
        </xdr:from>
        <xdr:to>
          <xdr:col>4</xdr:col>
          <xdr:colOff>314325</xdr:colOff>
          <xdr:row>22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257175</xdr:rowOff>
        </xdr:from>
        <xdr:to>
          <xdr:col>4</xdr:col>
          <xdr:colOff>314325</xdr:colOff>
          <xdr:row>23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</xdr:row>
          <xdr:rowOff>247650</xdr:rowOff>
        </xdr:from>
        <xdr:to>
          <xdr:col>8</xdr:col>
          <xdr:colOff>314325</xdr:colOff>
          <xdr:row>22</xdr:row>
          <xdr:rowOff>47625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21</xdr:row>
          <xdr:rowOff>257175</xdr:rowOff>
        </xdr:from>
        <xdr:to>
          <xdr:col>8</xdr:col>
          <xdr:colOff>314325</xdr:colOff>
          <xdr:row>23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20</xdr:row>
          <xdr:rowOff>247650</xdr:rowOff>
        </xdr:from>
        <xdr:to>
          <xdr:col>12</xdr:col>
          <xdr:colOff>304800</xdr:colOff>
          <xdr:row>22</xdr:row>
          <xdr:rowOff>47625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21</xdr:row>
          <xdr:rowOff>257175</xdr:rowOff>
        </xdr:from>
        <xdr:to>
          <xdr:col>12</xdr:col>
          <xdr:colOff>304800</xdr:colOff>
          <xdr:row>23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20</xdr:row>
          <xdr:rowOff>247650</xdr:rowOff>
        </xdr:from>
        <xdr:to>
          <xdr:col>15</xdr:col>
          <xdr:colOff>304800</xdr:colOff>
          <xdr:row>22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21</xdr:row>
          <xdr:rowOff>257175</xdr:rowOff>
        </xdr:from>
        <xdr:to>
          <xdr:col>15</xdr:col>
          <xdr:colOff>304800</xdr:colOff>
          <xdr:row>23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9525</xdr:rowOff>
        </xdr:from>
        <xdr:to>
          <xdr:col>1</xdr:col>
          <xdr:colOff>314325</xdr:colOff>
          <xdr:row>23</xdr:row>
          <xdr:rowOff>333375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47625</xdr:rowOff>
        </xdr:from>
        <xdr:to>
          <xdr:col>1</xdr:col>
          <xdr:colOff>314325</xdr:colOff>
          <xdr:row>24</xdr:row>
          <xdr:rowOff>361950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25</xdr:row>
          <xdr:rowOff>47625</xdr:rowOff>
        </xdr:from>
        <xdr:to>
          <xdr:col>1</xdr:col>
          <xdr:colOff>314325</xdr:colOff>
          <xdr:row>25</xdr:row>
          <xdr:rowOff>361950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47625</xdr:rowOff>
        </xdr:from>
        <xdr:to>
          <xdr:col>1</xdr:col>
          <xdr:colOff>314325</xdr:colOff>
          <xdr:row>26</xdr:row>
          <xdr:rowOff>361950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209550</xdr:colOff>
      <xdr:row>23</xdr:row>
      <xdr:rowOff>46264</xdr:rowOff>
    </xdr:from>
    <xdr:to>
      <xdr:col>11</xdr:col>
      <xdr:colOff>165735</xdr:colOff>
      <xdr:row>23</xdr:row>
      <xdr:rowOff>310244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l="7469" b="21562"/>
        <a:stretch/>
      </xdr:blipFill>
      <xdr:spPr bwMode="auto">
        <a:xfrm>
          <a:off x="3126921" y="6909707"/>
          <a:ext cx="1050200" cy="2639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161925</xdr:colOff>
      <xdr:row>24</xdr:row>
      <xdr:rowOff>80282</xdr:rowOff>
    </xdr:from>
    <xdr:to>
      <xdr:col>11</xdr:col>
      <xdr:colOff>135255</xdr:colOff>
      <xdr:row>24</xdr:row>
      <xdr:rowOff>356507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/>
        <a:srcRect l="1" r="13889"/>
        <a:stretch/>
      </xdr:blipFill>
      <xdr:spPr bwMode="auto">
        <a:xfrm>
          <a:off x="3079296" y="7324725"/>
          <a:ext cx="1067345" cy="276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161926</xdr:colOff>
      <xdr:row>25</xdr:row>
      <xdr:rowOff>66675</xdr:rowOff>
    </xdr:from>
    <xdr:to>
      <xdr:col>11</xdr:col>
      <xdr:colOff>134621</xdr:colOff>
      <xdr:row>25</xdr:row>
      <xdr:rowOff>319405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79297" y="7692118"/>
          <a:ext cx="1066710" cy="252730"/>
        </a:xfrm>
        <a:prstGeom prst="rect">
          <a:avLst/>
        </a:prstGeom>
      </xdr:spPr>
    </xdr:pic>
    <xdr:clientData/>
  </xdr:twoCellAnchor>
  <xdr:twoCellAnchor editAs="oneCell">
    <xdr:from>
      <xdr:col>8</xdr:col>
      <xdr:colOff>153761</xdr:colOff>
      <xdr:row>26</xdr:row>
      <xdr:rowOff>32658</xdr:rowOff>
    </xdr:from>
    <xdr:to>
      <xdr:col>11</xdr:col>
      <xdr:colOff>142331</xdr:colOff>
      <xdr:row>26</xdr:row>
      <xdr:rowOff>369843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071132" y="8039101"/>
          <a:ext cx="1082585" cy="3371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28575</xdr:rowOff>
        </xdr:from>
        <xdr:to>
          <xdr:col>1</xdr:col>
          <xdr:colOff>304800</xdr:colOff>
          <xdr:row>29</xdr:row>
          <xdr:rowOff>38100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97971</xdr:colOff>
      <xdr:row>37</xdr:row>
      <xdr:rowOff>47625</xdr:rowOff>
    </xdr:from>
    <xdr:ext cx="3445817" cy="724001"/>
    <xdr:pic>
      <xdr:nvPicPr>
        <xdr:cNvPr id="21" name="Grafi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40" r="-1"/>
        <a:stretch/>
      </xdr:blipFill>
      <xdr:spPr>
        <a:xfrm>
          <a:off x="97971" y="12968968"/>
          <a:ext cx="3445817" cy="724001"/>
        </a:xfrm>
        <a:prstGeom prst="rect">
          <a:avLst/>
        </a:prstGeom>
      </xdr:spPr>
    </xdr:pic>
    <xdr:clientData/>
  </xdr:oneCellAnchor>
  <xdr:twoCellAnchor editAs="oneCell">
    <xdr:from>
      <xdr:col>2</xdr:col>
      <xdr:colOff>0</xdr:colOff>
      <xdr:row>33</xdr:row>
      <xdr:rowOff>66675</xdr:rowOff>
    </xdr:from>
    <xdr:to>
      <xdr:col>6</xdr:col>
      <xdr:colOff>38100</xdr:colOff>
      <xdr:row>33</xdr:row>
      <xdr:rowOff>1193576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56" t="3616" r="16231" b="10507"/>
        <a:stretch/>
      </xdr:blipFill>
      <xdr:spPr bwMode="auto">
        <a:xfrm>
          <a:off x="1028700" y="10258425"/>
          <a:ext cx="1409700" cy="11347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31</xdr:row>
          <xdr:rowOff>209550</xdr:rowOff>
        </xdr:from>
        <xdr:to>
          <xdr:col>1</xdr:col>
          <xdr:colOff>304800</xdr:colOff>
          <xdr:row>33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31</xdr:row>
          <xdr:rowOff>209550</xdr:rowOff>
        </xdr:from>
        <xdr:to>
          <xdr:col>7</xdr:col>
          <xdr:colOff>333375</xdr:colOff>
          <xdr:row>33</xdr:row>
          <xdr:rowOff>57150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31</xdr:row>
          <xdr:rowOff>209550</xdr:rowOff>
        </xdr:from>
        <xdr:to>
          <xdr:col>13</xdr:col>
          <xdr:colOff>295275</xdr:colOff>
          <xdr:row>33</xdr:row>
          <xdr:rowOff>57150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285750</xdr:colOff>
      <xdr:row>33</xdr:row>
      <xdr:rowOff>38100</xdr:rowOff>
    </xdr:from>
    <xdr:to>
      <xdr:col>12</xdr:col>
      <xdr:colOff>114300</xdr:colOff>
      <xdr:row>33</xdr:row>
      <xdr:rowOff>1189766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40" t="6352" r="10535" b="11858"/>
        <a:stretch/>
      </xdr:blipFill>
      <xdr:spPr bwMode="auto">
        <a:xfrm>
          <a:off x="3028950" y="10229850"/>
          <a:ext cx="1543050" cy="11595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38100</xdr:colOff>
      <xdr:row>33</xdr:row>
      <xdr:rowOff>228599</xdr:rowOff>
    </xdr:from>
    <xdr:to>
      <xdr:col>20</xdr:col>
      <xdr:colOff>38814</xdr:colOff>
      <xdr:row>33</xdr:row>
      <xdr:rowOff>1163730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77"/>
        <a:stretch/>
      </xdr:blipFill>
      <xdr:spPr bwMode="auto">
        <a:xfrm>
          <a:off x="4927600" y="10404474"/>
          <a:ext cx="2096214" cy="9429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34</xdr:row>
          <xdr:rowOff>0</xdr:rowOff>
        </xdr:from>
        <xdr:to>
          <xdr:col>1</xdr:col>
          <xdr:colOff>304800</xdr:colOff>
          <xdr:row>35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34</xdr:row>
          <xdr:rowOff>0</xdr:rowOff>
        </xdr:from>
        <xdr:to>
          <xdr:col>10</xdr:col>
          <xdr:colOff>314325</xdr:colOff>
          <xdr:row>35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42</xdr:row>
          <xdr:rowOff>219075</xdr:rowOff>
        </xdr:from>
        <xdr:to>
          <xdr:col>1</xdr:col>
          <xdr:colOff>304800</xdr:colOff>
          <xdr:row>44</xdr:row>
          <xdr:rowOff>66675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42</xdr:row>
          <xdr:rowOff>219075</xdr:rowOff>
        </xdr:from>
        <xdr:to>
          <xdr:col>7</xdr:col>
          <xdr:colOff>333375</xdr:colOff>
          <xdr:row>44</xdr:row>
          <xdr:rowOff>66675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42</xdr:row>
          <xdr:rowOff>219075</xdr:rowOff>
        </xdr:from>
        <xdr:to>
          <xdr:col>13</xdr:col>
          <xdr:colOff>295275</xdr:colOff>
          <xdr:row>44</xdr:row>
          <xdr:rowOff>66675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44</xdr:row>
          <xdr:rowOff>1209675</xdr:rowOff>
        </xdr:from>
        <xdr:to>
          <xdr:col>1</xdr:col>
          <xdr:colOff>304800</xdr:colOff>
          <xdr:row>45</xdr:row>
          <xdr:rowOff>285750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52</xdr:row>
          <xdr:rowOff>238125</xdr:rowOff>
        </xdr:from>
        <xdr:to>
          <xdr:col>1</xdr:col>
          <xdr:colOff>323850</xdr:colOff>
          <xdr:row>54</xdr:row>
          <xdr:rowOff>38100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52</xdr:row>
          <xdr:rowOff>238125</xdr:rowOff>
        </xdr:from>
        <xdr:to>
          <xdr:col>8</xdr:col>
          <xdr:colOff>0</xdr:colOff>
          <xdr:row>54</xdr:row>
          <xdr:rowOff>38100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52</xdr:row>
          <xdr:rowOff>238125</xdr:rowOff>
        </xdr:from>
        <xdr:to>
          <xdr:col>16</xdr:col>
          <xdr:colOff>0</xdr:colOff>
          <xdr:row>54</xdr:row>
          <xdr:rowOff>38100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54</xdr:row>
          <xdr:rowOff>161925</xdr:rowOff>
        </xdr:from>
        <xdr:to>
          <xdr:col>9</xdr:col>
          <xdr:colOff>0</xdr:colOff>
          <xdr:row>56</xdr:row>
          <xdr:rowOff>47625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54</xdr:row>
          <xdr:rowOff>161925</xdr:rowOff>
        </xdr:from>
        <xdr:to>
          <xdr:col>13</xdr:col>
          <xdr:colOff>0</xdr:colOff>
          <xdr:row>56</xdr:row>
          <xdr:rowOff>47625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201385</xdr:colOff>
      <xdr:row>55</xdr:row>
      <xdr:rowOff>146958</xdr:rowOff>
    </xdr:from>
    <xdr:to>
      <xdr:col>6</xdr:col>
      <xdr:colOff>157842</xdr:colOff>
      <xdr:row>56</xdr:row>
      <xdr:rowOff>1087523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6056" y="18157372"/>
          <a:ext cx="1779815" cy="1152835"/>
        </a:xfrm>
        <a:prstGeom prst="rect">
          <a:avLst/>
        </a:prstGeom>
      </xdr:spPr>
    </xdr:pic>
    <xdr:clientData/>
  </xdr:twoCellAnchor>
  <xdr:twoCellAnchor editAs="oneCell">
    <xdr:from>
      <xdr:col>7</xdr:col>
      <xdr:colOff>250372</xdr:colOff>
      <xdr:row>56</xdr:row>
      <xdr:rowOff>32657</xdr:rowOff>
    </xdr:from>
    <xdr:to>
      <xdr:col>13</xdr:col>
      <xdr:colOff>310243</xdr:colOff>
      <xdr:row>56</xdr:row>
      <xdr:rowOff>1224432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803072" y="18135600"/>
          <a:ext cx="2247900" cy="1191775"/>
        </a:xfrm>
        <a:prstGeom prst="rect">
          <a:avLst/>
        </a:prstGeom>
      </xdr:spPr>
    </xdr:pic>
    <xdr:clientData/>
  </xdr:twoCellAnchor>
  <xdr:twoCellAnchor editAs="oneCell">
    <xdr:from>
      <xdr:col>16</xdr:col>
      <xdr:colOff>195942</xdr:colOff>
      <xdr:row>56</xdr:row>
      <xdr:rowOff>54428</xdr:rowOff>
    </xdr:from>
    <xdr:to>
      <xdr:col>19</xdr:col>
      <xdr:colOff>76200</xdr:colOff>
      <xdr:row>56</xdr:row>
      <xdr:rowOff>1220486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30685" y="18157371"/>
          <a:ext cx="974272" cy="1166058"/>
        </a:xfrm>
        <a:prstGeom prst="rect">
          <a:avLst/>
        </a:prstGeom>
      </xdr:spPr>
    </xdr:pic>
    <xdr:clientData/>
  </xdr:twoCellAnchor>
  <xdr:oneCellAnchor>
    <xdr:from>
      <xdr:col>0</xdr:col>
      <xdr:colOff>92529</xdr:colOff>
      <xdr:row>77</xdr:row>
      <xdr:rowOff>47625</xdr:rowOff>
    </xdr:from>
    <xdr:ext cx="3451259" cy="724001"/>
    <xdr:pic>
      <xdr:nvPicPr>
        <xdr:cNvPr id="26" name="Grafi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85" r="-1"/>
        <a:stretch/>
      </xdr:blipFill>
      <xdr:spPr>
        <a:xfrm>
          <a:off x="92529" y="24192139"/>
          <a:ext cx="3451259" cy="724001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84</xdr:row>
          <xdr:rowOff>19050</xdr:rowOff>
        </xdr:from>
        <xdr:to>
          <xdr:col>2</xdr:col>
          <xdr:colOff>0</xdr:colOff>
          <xdr:row>85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84</xdr:row>
          <xdr:rowOff>19050</xdr:rowOff>
        </xdr:from>
        <xdr:to>
          <xdr:col>7</xdr:col>
          <xdr:colOff>333375</xdr:colOff>
          <xdr:row>85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84</xdr:row>
          <xdr:rowOff>19050</xdr:rowOff>
        </xdr:from>
        <xdr:to>
          <xdr:col>11</xdr:col>
          <xdr:colOff>333375</xdr:colOff>
          <xdr:row>85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84</xdr:row>
          <xdr:rowOff>285750</xdr:rowOff>
        </xdr:from>
        <xdr:to>
          <xdr:col>2</xdr:col>
          <xdr:colOff>0</xdr:colOff>
          <xdr:row>85</xdr:row>
          <xdr:rowOff>295275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84</xdr:row>
          <xdr:rowOff>304800</xdr:rowOff>
        </xdr:from>
        <xdr:to>
          <xdr:col>7</xdr:col>
          <xdr:colOff>333375</xdr:colOff>
          <xdr:row>85</xdr:row>
          <xdr:rowOff>304800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84</xdr:row>
          <xdr:rowOff>304800</xdr:rowOff>
        </xdr:from>
        <xdr:to>
          <xdr:col>11</xdr:col>
          <xdr:colOff>333375</xdr:colOff>
          <xdr:row>85</xdr:row>
          <xdr:rowOff>304800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85</xdr:row>
          <xdr:rowOff>285750</xdr:rowOff>
        </xdr:from>
        <xdr:to>
          <xdr:col>2</xdr:col>
          <xdr:colOff>0</xdr:colOff>
          <xdr:row>86</xdr:row>
          <xdr:rowOff>295275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85</xdr:row>
          <xdr:rowOff>304800</xdr:rowOff>
        </xdr:from>
        <xdr:to>
          <xdr:col>7</xdr:col>
          <xdr:colOff>333375</xdr:colOff>
          <xdr:row>86</xdr:row>
          <xdr:rowOff>304800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85</xdr:row>
          <xdr:rowOff>304800</xdr:rowOff>
        </xdr:from>
        <xdr:to>
          <xdr:col>11</xdr:col>
          <xdr:colOff>333375</xdr:colOff>
          <xdr:row>86</xdr:row>
          <xdr:rowOff>304800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86</xdr:row>
          <xdr:rowOff>295275</xdr:rowOff>
        </xdr:from>
        <xdr:to>
          <xdr:col>2</xdr:col>
          <xdr:colOff>0</xdr:colOff>
          <xdr:row>87</xdr:row>
          <xdr:rowOff>295275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86</xdr:row>
          <xdr:rowOff>295275</xdr:rowOff>
        </xdr:from>
        <xdr:to>
          <xdr:col>7</xdr:col>
          <xdr:colOff>333375</xdr:colOff>
          <xdr:row>87</xdr:row>
          <xdr:rowOff>295275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86</xdr:row>
          <xdr:rowOff>295275</xdr:rowOff>
        </xdr:from>
        <xdr:to>
          <xdr:col>11</xdr:col>
          <xdr:colOff>333375</xdr:colOff>
          <xdr:row>87</xdr:row>
          <xdr:rowOff>295275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87</xdr:row>
          <xdr:rowOff>295275</xdr:rowOff>
        </xdr:from>
        <xdr:to>
          <xdr:col>2</xdr:col>
          <xdr:colOff>0</xdr:colOff>
          <xdr:row>88</xdr:row>
          <xdr:rowOff>295275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87</xdr:row>
          <xdr:rowOff>304800</xdr:rowOff>
        </xdr:from>
        <xdr:to>
          <xdr:col>7</xdr:col>
          <xdr:colOff>333375</xdr:colOff>
          <xdr:row>88</xdr:row>
          <xdr:rowOff>314325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87</xdr:row>
          <xdr:rowOff>276225</xdr:rowOff>
        </xdr:from>
        <xdr:to>
          <xdr:col>16</xdr:col>
          <xdr:colOff>304800</xdr:colOff>
          <xdr:row>88</xdr:row>
          <xdr:rowOff>276225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53068</xdr:colOff>
      <xdr:row>88</xdr:row>
      <xdr:rowOff>609598</xdr:rowOff>
    </xdr:from>
    <xdr:to>
      <xdr:col>5</xdr:col>
      <xdr:colOff>156482</xdr:colOff>
      <xdr:row>88</xdr:row>
      <xdr:rowOff>1795570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t="5834" b="6973"/>
        <a:stretch/>
      </xdr:blipFill>
      <xdr:spPr>
        <a:xfrm>
          <a:off x="738868" y="28679773"/>
          <a:ext cx="1132114" cy="1185972"/>
        </a:xfrm>
        <a:prstGeom prst="rect">
          <a:avLst/>
        </a:prstGeom>
      </xdr:spPr>
    </xdr:pic>
    <xdr:clientData/>
  </xdr:twoCellAnchor>
  <xdr:twoCellAnchor editAs="oneCell">
    <xdr:from>
      <xdr:col>7</xdr:col>
      <xdr:colOff>156482</xdr:colOff>
      <xdr:row>88</xdr:row>
      <xdr:rowOff>771526</xdr:rowOff>
    </xdr:from>
    <xdr:to>
      <xdr:col>15</xdr:col>
      <xdr:colOff>96545</xdr:colOff>
      <xdr:row>88</xdr:row>
      <xdr:rowOff>1823536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556782" y="28841701"/>
          <a:ext cx="2683263" cy="10520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91</xdr:row>
          <xdr:rowOff>0</xdr:rowOff>
        </xdr:from>
        <xdr:to>
          <xdr:col>4</xdr:col>
          <xdr:colOff>9525</xdr:colOff>
          <xdr:row>92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91</xdr:row>
          <xdr:rowOff>0</xdr:rowOff>
        </xdr:from>
        <xdr:to>
          <xdr:col>8</xdr:col>
          <xdr:colOff>19050</xdr:colOff>
          <xdr:row>92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91</xdr:row>
          <xdr:rowOff>0</xdr:rowOff>
        </xdr:from>
        <xdr:to>
          <xdr:col>11</xdr:col>
          <xdr:colOff>314325</xdr:colOff>
          <xdr:row>92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91</xdr:row>
          <xdr:rowOff>0</xdr:rowOff>
        </xdr:from>
        <xdr:to>
          <xdr:col>15</xdr:col>
          <xdr:colOff>314325</xdr:colOff>
          <xdr:row>92</xdr:row>
          <xdr:rowOff>9525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91</xdr:row>
          <xdr:rowOff>276225</xdr:rowOff>
        </xdr:from>
        <xdr:to>
          <xdr:col>4</xdr:col>
          <xdr:colOff>333375</xdr:colOff>
          <xdr:row>93</xdr:row>
          <xdr:rowOff>28575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91</xdr:row>
          <xdr:rowOff>276225</xdr:rowOff>
        </xdr:from>
        <xdr:to>
          <xdr:col>8</xdr:col>
          <xdr:colOff>0</xdr:colOff>
          <xdr:row>93</xdr:row>
          <xdr:rowOff>28575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91</xdr:row>
          <xdr:rowOff>285750</xdr:rowOff>
        </xdr:from>
        <xdr:to>
          <xdr:col>10</xdr:col>
          <xdr:colOff>314325</xdr:colOff>
          <xdr:row>93</xdr:row>
          <xdr:rowOff>28575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91</xdr:row>
          <xdr:rowOff>276225</xdr:rowOff>
        </xdr:from>
        <xdr:to>
          <xdr:col>13</xdr:col>
          <xdr:colOff>323850</xdr:colOff>
          <xdr:row>93</xdr:row>
          <xdr:rowOff>28575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91</xdr:row>
          <xdr:rowOff>285750</xdr:rowOff>
        </xdr:from>
        <xdr:to>
          <xdr:col>16</xdr:col>
          <xdr:colOff>314325</xdr:colOff>
          <xdr:row>93</xdr:row>
          <xdr:rowOff>38100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27214</xdr:colOff>
      <xdr:row>92</xdr:row>
      <xdr:rowOff>238087</xdr:rowOff>
    </xdr:from>
    <xdr:to>
      <xdr:col>3</xdr:col>
      <xdr:colOff>141514</xdr:colOff>
      <xdr:row>93</xdr:row>
      <xdr:rowOff>605668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91885" y="28682458"/>
          <a:ext cx="843643" cy="61795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95</xdr:row>
          <xdr:rowOff>238125</xdr:rowOff>
        </xdr:from>
        <xdr:to>
          <xdr:col>4</xdr:col>
          <xdr:colOff>304800</xdr:colOff>
          <xdr:row>96</xdr:row>
          <xdr:rowOff>304800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95</xdr:row>
          <xdr:rowOff>238125</xdr:rowOff>
        </xdr:from>
        <xdr:to>
          <xdr:col>7</xdr:col>
          <xdr:colOff>314325</xdr:colOff>
          <xdr:row>96</xdr:row>
          <xdr:rowOff>304800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95</xdr:row>
          <xdr:rowOff>247650</xdr:rowOff>
        </xdr:from>
        <xdr:to>
          <xdr:col>11</xdr:col>
          <xdr:colOff>38100</xdr:colOff>
          <xdr:row>96</xdr:row>
          <xdr:rowOff>304800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95</xdr:row>
          <xdr:rowOff>238125</xdr:rowOff>
        </xdr:from>
        <xdr:to>
          <xdr:col>13</xdr:col>
          <xdr:colOff>47625</xdr:colOff>
          <xdr:row>96</xdr:row>
          <xdr:rowOff>304800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95</xdr:row>
          <xdr:rowOff>257175</xdr:rowOff>
        </xdr:from>
        <xdr:to>
          <xdr:col>15</xdr:col>
          <xdr:colOff>219075</xdr:colOff>
          <xdr:row>97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98</xdr:row>
          <xdr:rowOff>238125</xdr:rowOff>
        </xdr:from>
        <xdr:to>
          <xdr:col>6</xdr:col>
          <xdr:colOff>323850</xdr:colOff>
          <xdr:row>99</xdr:row>
          <xdr:rowOff>304800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98</xdr:row>
          <xdr:rowOff>238125</xdr:rowOff>
        </xdr:from>
        <xdr:to>
          <xdr:col>9</xdr:col>
          <xdr:colOff>314325</xdr:colOff>
          <xdr:row>99</xdr:row>
          <xdr:rowOff>304800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98</xdr:row>
          <xdr:rowOff>247650</xdr:rowOff>
        </xdr:from>
        <xdr:to>
          <xdr:col>12</xdr:col>
          <xdr:colOff>323850</xdr:colOff>
          <xdr:row>99</xdr:row>
          <xdr:rowOff>304800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106</xdr:row>
          <xdr:rowOff>257175</xdr:rowOff>
        </xdr:from>
        <xdr:to>
          <xdr:col>1</xdr:col>
          <xdr:colOff>314325</xdr:colOff>
          <xdr:row>108</xdr:row>
          <xdr:rowOff>9525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109</xdr:row>
          <xdr:rowOff>19050</xdr:rowOff>
        </xdr:from>
        <xdr:to>
          <xdr:col>1</xdr:col>
          <xdr:colOff>314325</xdr:colOff>
          <xdr:row>110</xdr:row>
          <xdr:rowOff>28575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111</xdr:row>
          <xdr:rowOff>19050</xdr:rowOff>
        </xdr:from>
        <xdr:to>
          <xdr:col>1</xdr:col>
          <xdr:colOff>314325</xdr:colOff>
          <xdr:row>112</xdr:row>
          <xdr:rowOff>28575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129</xdr:row>
          <xdr:rowOff>257175</xdr:rowOff>
        </xdr:from>
        <xdr:to>
          <xdr:col>1</xdr:col>
          <xdr:colOff>304800</xdr:colOff>
          <xdr:row>130</xdr:row>
          <xdr:rowOff>304800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129</xdr:row>
          <xdr:rowOff>257175</xdr:rowOff>
        </xdr:from>
        <xdr:to>
          <xdr:col>6</xdr:col>
          <xdr:colOff>0</xdr:colOff>
          <xdr:row>131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101</xdr:row>
          <xdr:rowOff>238125</xdr:rowOff>
        </xdr:from>
        <xdr:to>
          <xdr:col>6</xdr:col>
          <xdr:colOff>0</xdr:colOff>
          <xdr:row>102</xdr:row>
          <xdr:rowOff>304800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101</xdr:row>
          <xdr:rowOff>238125</xdr:rowOff>
        </xdr:from>
        <xdr:to>
          <xdr:col>2</xdr:col>
          <xdr:colOff>0</xdr:colOff>
          <xdr:row>102</xdr:row>
          <xdr:rowOff>304800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102</xdr:row>
          <xdr:rowOff>238125</xdr:rowOff>
        </xdr:from>
        <xdr:to>
          <xdr:col>6</xdr:col>
          <xdr:colOff>0</xdr:colOff>
          <xdr:row>103</xdr:row>
          <xdr:rowOff>257175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102</xdr:row>
          <xdr:rowOff>238125</xdr:rowOff>
        </xdr:from>
        <xdr:to>
          <xdr:col>2</xdr:col>
          <xdr:colOff>0</xdr:colOff>
          <xdr:row>103</xdr:row>
          <xdr:rowOff>257175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115</xdr:row>
          <xdr:rowOff>0</xdr:rowOff>
        </xdr:from>
        <xdr:to>
          <xdr:col>6</xdr:col>
          <xdr:colOff>323850</xdr:colOff>
          <xdr:row>116</xdr:row>
          <xdr:rowOff>9525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114</xdr:row>
          <xdr:rowOff>247650</xdr:rowOff>
        </xdr:from>
        <xdr:to>
          <xdr:col>12</xdr:col>
          <xdr:colOff>28575</xdr:colOff>
          <xdr:row>115</xdr:row>
          <xdr:rowOff>304800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118</xdr:row>
          <xdr:rowOff>9525</xdr:rowOff>
        </xdr:from>
        <xdr:to>
          <xdr:col>1</xdr:col>
          <xdr:colOff>323850</xdr:colOff>
          <xdr:row>119</xdr:row>
          <xdr:rowOff>9525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119</xdr:row>
          <xdr:rowOff>0</xdr:rowOff>
        </xdr:from>
        <xdr:to>
          <xdr:col>1</xdr:col>
          <xdr:colOff>314325</xdr:colOff>
          <xdr:row>120</xdr:row>
          <xdr:rowOff>9525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117</xdr:row>
          <xdr:rowOff>314325</xdr:rowOff>
        </xdr:from>
        <xdr:to>
          <xdr:col>7</xdr:col>
          <xdr:colOff>314325</xdr:colOff>
          <xdr:row>119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117</xdr:row>
          <xdr:rowOff>314325</xdr:rowOff>
        </xdr:from>
        <xdr:to>
          <xdr:col>10</xdr:col>
          <xdr:colOff>285750</xdr:colOff>
          <xdr:row>119</xdr:row>
          <xdr:rowOff>9525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118</xdr:row>
          <xdr:rowOff>9525</xdr:rowOff>
        </xdr:from>
        <xdr:to>
          <xdr:col>13</xdr:col>
          <xdr:colOff>314325</xdr:colOff>
          <xdr:row>119</xdr:row>
          <xdr:rowOff>19050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97971</xdr:colOff>
      <xdr:row>121</xdr:row>
      <xdr:rowOff>47625</xdr:rowOff>
    </xdr:from>
    <xdr:ext cx="3445817" cy="724001"/>
    <xdr:pic>
      <xdr:nvPicPr>
        <xdr:cNvPr id="31" name="Grafi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40" r="-1"/>
        <a:stretch/>
      </xdr:blipFill>
      <xdr:spPr>
        <a:xfrm>
          <a:off x="97971" y="36395025"/>
          <a:ext cx="3445817" cy="724001"/>
        </a:xfrm>
        <a:prstGeom prst="rect">
          <a:avLst/>
        </a:prstGeom>
      </xdr:spPr>
    </xdr:pic>
    <xdr:clientData/>
  </xdr:oneCellAnchor>
  <xdr:oneCellAnchor>
    <xdr:from>
      <xdr:col>0</xdr:col>
      <xdr:colOff>97971</xdr:colOff>
      <xdr:row>183</xdr:row>
      <xdr:rowOff>47625</xdr:rowOff>
    </xdr:from>
    <xdr:ext cx="3445817" cy="724001"/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40" r="-1"/>
        <a:stretch/>
      </xdr:blipFill>
      <xdr:spPr>
        <a:xfrm>
          <a:off x="97971" y="37146139"/>
          <a:ext cx="3445817" cy="724001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226</xdr:row>
          <xdr:rowOff>19050</xdr:rowOff>
        </xdr:from>
        <xdr:to>
          <xdr:col>3</xdr:col>
          <xdr:colOff>133350</xdr:colOff>
          <xdr:row>226</xdr:row>
          <xdr:rowOff>333375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54428</xdr:colOff>
      <xdr:row>227</xdr:row>
      <xdr:rowOff>81645</xdr:rowOff>
    </xdr:from>
    <xdr:to>
      <xdr:col>2</xdr:col>
      <xdr:colOff>196033</xdr:colOff>
      <xdr:row>227</xdr:row>
      <xdr:rowOff>576945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83771" y="52588888"/>
          <a:ext cx="141605" cy="495300"/>
        </a:xfrm>
        <a:prstGeom prst="rect">
          <a:avLst/>
        </a:prstGeom>
      </xdr:spPr>
    </xdr:pic>
    <xdr:clientData/>
  </xdr:twoCellAnchor>
  <xdr:twoCellAnchor editAs="oneCell">
    <xdr:from>
      <xdr:col>18</xdr:col>
      <xdr:colOff>228641</xdr:colOff>
      <xdr:row>227</xdr:row>
      <xdr:rowOff>92527</xdr:rowOff>
    </xdr:from>
    <xdr:to>
      <xdr:col>19</xdr:col>
      <xdr:colOff>5575</xdr:colOff>
      <xdr:row>227</xdr:row>
      <xdr:rowOff>587827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792727" y="52599770"/>
          <a:ext cx="141605" cy="4953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257175</xdr:colOff>
          <xdr:row>3</xdr:row>
          <xdr:rowOff>161925</xdr:rowOff>
        </xdr:from>
        <xdr:to>
          <xdr:col>6</xdr:col>
          <xdr:colOff>123825</xdr:colOff>
          <xdr:row>5</xdr:row>
          <xdr:rowOff>28575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276225</xdr:colOff>
          <xdr:row>3</xdr:row>
          <xdr:rowOff>171450</xdr:rowOff>
        </xdr:from>
        <xdr:to>
          <xdr:col>12</xdr:col>
          <xdr:colOff>247650</xdr:colOff>
          <xdr:row>5</xdr:row>
          <xdr:rowOff>47625</xdr:rowOff>
        </xdr:to>
        <xdr:sp macro="" textlink="">
          <xdr:nvSpPr>
            <xdr:cNvPr id="2173" name="Option Button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285750</xdr:colOff>
          <xdr:row>3</xdr:row>
          <xdr:rowOff>171450</xdr:rowOff>
        </xdr:from>
        <xdr:to>
          <xdr:col>19</xdr:col>
          <xdr:colOff>219075</xdr:colOff>
          <xdr:row>5</xdr:row>
          <xdr:rowOff>47625</xdr:rowOff>
        </xdr:to>
        <xdr:sp macro="" textlink="">
          <xdr:nvSpPr>
            <xdr:cNvPr id="2174" name="Option Button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9525</xdr:colOff>
      <xdr:row>44</xdr:row>
      <xdr:rowOff>0</xdr:rowOff>
    </xdr:from>
    <xdr:to>
      <xdr:col>6</xdr:col>
      <xdr:colOff>276860</xdr:colOff>
      <xdr:row>44</xdr:row>
      <xdr:rowOff>1186815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695325" y="14106525"/>
          <a:ext cx="1638935" cy="118681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44</xdr:row>
      <xdr:rowOff>0</xdr:rowOff>
    </xdr:from>
    <xdr:to>
      <xdr:col>12</xdr:col>
      <xdr:colOff>316230</xdr:colOff>
      <xdr:row>44</xdr:row>
      <xdr:rowOff>1186815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/>
        <a:srcRect l="3098" r="-1"/>
        <a:stretch/>
      </xdr:blipFill>
      <xdr:spPr bwMode="auto">
        <a:xfrm>
          <a:off x="2771775" y="14106525"/>
          <a:ext cx="1659255" cy="11868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47625</xdr:colOff>
      <xdr:row>44</xdr:row>
      <xdr:rowOff>19050</xdr:rowOff>
    </xdr:from>
    <xdr:to>
      <xdr:col>18</xdr:col>
      <xdr:colOff>250190</xdr:colOff>
      <xdr:row>44</xdr:row>
      <xdr:rowOff>1146175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4848225" y="14125575"/>
          <a:ext cx="1574165" cy="1127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96520</xdr:colOff>
      <xdr:row>59</xdr:row>
      <xdr:rowOff>147773</xdr:rowOff>
    </xdr:from>
    <xdr:to>
      <xdr:col>0</xdr:col>
      <xdr:colOff>319405</xdr:colOff>
      <xdr:row>59</xdr:row>
      <xdr:rowOff>147773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96520" y="3750945"/>
          <a:ext cx="222885" cy="0"/>
        </a:xfrm>
        <a:prstGeom prst="straightConnector1">
          <a:avLst/>
        </a:prstGeom>
        <a:noFill/>
        <a:ln w="12700" cmpd="sng">
          <a:solidFill>
            <a:schemeClr val="dk1">
              <a:lumMod val="100000"/>
              <a:lumOff val="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1.xml"/><Relationship Id="rId21" Type="http://schemas.openxmlformats.org/officeDocument/2006/relationships/ctrlProp" Target="../ctrlProps/ctrlProp16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84" Type="http://schemas.openxmlformats.org/officeDocument/2006/relationships/ctrlProp" Target="../ctrlProps/ctrlProp79.xml"/><Relationship Id="rId16" Type="http://schemas.openxmlformats.org/officeDocument/2006/relationships/ctrlProp" Target="../ctrlProps/ctrlProp11.xml"/><Relationship Id="rId11" Type="http://schemas.openxmlformats.org/officeDocument/2006/relationships/ctrlProp" Target="../ctrlProps/ctrlProp6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5" Type="http://schemas.openxmlformats.org/officeDocument/2006/relationships/vmlDrawing" Target="../drawings/vmlDrawing2.v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77" Type="http://schemas.openxmlformats.org/officeDocument/2006/relationships/ctrlProp" Target="../ctrlProps/ctrlProp72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80" Type="http://schemas.openxmlformats.org/officeDocument/2006/relationships/ctrlProp" Target="../ctrlProps/ctrlProp75.xml"/><Relationship Id="rId85" Type="http://schemas.openxmlformats.org/officeDocument/2006/relationships/ctrlProp" Target="../ctrlProps/ctrlProp80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67" Type="http://schemas.openxmlformats.org/officeDocument/2006/relationships/ctrlProp" Target="../ctrlProps/ctrlProp62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83" Type="http://schemas.openxmlformats.org/officeDocument/2006/relationships/ctrlProp" Target="../ctrlProps/ctrlProp78.xml"/><Relationship Id="rId1" Type="http://schemas.openxmlformats.org/officeDocument/2006/relationships/hyperlink" Target="mailto:info@mezger.eu" TargetMode="External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81" Type="http://schemas.openxmlformats.org/officeDocument/2006/relationships/ctrlProp" Target="../ctrlProps/ctrlProp76.xml"/><Relationship Id="rId86" Type="http://schemas.openxmlformats.org/officeDocument/2006/relationships/ctrlProp" Target="../ctrlProps/ctrlProp8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Relationship Id="rId34" Type="http://schemas.openxmlformats.org/officeDocument/2006/relationships/ctrlProp" Target="../ctrlProps/ctrlProp29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6" Type="http://schemas.openxmlformats.org/officeDocument/2006/relationships/ctrlProp" Target="../ctrlProps/ctrlProp71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4.xml"/><Relationship Id="rId24" Type="http://schemas.openxmlformats.org/officeDocument/2006/relationships/ctrlProp" Target="../ctrlProps/ctrlProp19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66" Type="http://schemas.openxmlformats.org/officeDocument/2006/relationships/ctrlProp" Target="../ctrlProps/ctrlProp61.x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6C554-E3FC-458C-99CD-AD3D218F1A1D}">
  <sheetPr>
    <pageSetUpPr fitToPage="1"/>
  </sheetPr>
  <dimension ref="A1:V238"/>
  <sheetViews>
    <sheetView showGridLines="0" tabSelected="1" view="pageBreakPreview" zoomScaleNormal="100" zoomScaleSheetLayoutView="100" zoomScalePageLayoutView="70" workbookViewId="0">
      <selection activeCell="K7" sqref="K7:O7"/>
    </sheetView>
  </sheetViews>
  <sheetFormatPr baseColWidth="10" defaultColWidth="11.140625" defaultRowHeight="16.5" x14ac:dyDescent="0.3"/>
  <cols>
    <col min="1" max="52" width="5.140625" style="2" customWidth="1"/>
    <col min="53" max="16384" width="11.140625" style="2"/>
  </cols>
  <sheetData>
    <row r="1" spans="1:22" x14ac:dyDescent="0.3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6" t="s">
        <v>3</v>
      </c>
      <c r="M1" s="107"/>
      <c r="N1" s="107"/>
      <c r="O1" s="107"/>
      <c r="P1" s="107"/>
      <c r="Q1" s="107"/>
      <c r="R1" s="108"/>
      <c r="S1" s="115"/>
      <c r="T1" s="115"/>
      <c r="U1" s="115"/>
      <c r="V1" s="116"/>
    </row>
    <row r="2" spans="1:22" x14ac:dyDescent="0.3">
      <c r="A2" s="93"/>
      <c r="B2" s="89"/>
      <c r="C2" s="89"/>
      <c r="D2" s="89"/>
      <c r="E2" s="89"/>
      <c r="F2" s="89"/>
      <c r="G2" s="89"/>
      <c r="H2" s="89"/>
      <c r="I2" s="89"/>
      <c r="J2" s="89"/>
      <c r="K2" s="102"/>
      <c r="L2" s="109"/>
      <c r="M2" s="110"/>
      <c r="N2" s="110"/>
      <c r="O2" s="110"/>
      <c r="P2" s="110"/>
      <c r="Q2" s="110"/>
      <c r="R2" s="111"/>
      <c r="S2" s="117" t="s">
        <v>4</v>
      </c>
      <c r="T2" s="118"/>
      <c r="U2" s="118"/>
      <c r="V2" s="14">
        <v>1</v>
      </c>
    </row>
    <row r="3" spans="1:22" x14ac:dyDescent="0.3">
      <c r="A3" s="93"/>
      <c r="B3" s="89"/>
      <c r="C3" s="89"/>
      <c r="D3" s="89"/>
      <c r="E3" s="89"/>
      <c r="F3" s="89"/>
      <c r="G3" s="89">
        <v>1</v>
      </c>
      <c r="H3" s="89"/>
      <c r="I3" s="89"/>
      <c r="J3" s="89"/>
      <c r="K3" s="102"/>
      <c r="L3" s="109"/>
      <c r="M3" s="110"/>
      <c r="N3" s="110"/>
      <c r="O3" s="110"/>
      <c r="P3" s="110"/>
      <c r="Q3" s="110"/>
      <c r="R3" s="111"/>
      <c r="S3" s="118" t="s">
        <v>5</v>
      </c>
      <c r="T3" s="118"/>
      <c r="U3" s="118"/>
      <c r="V3" s="119"/>
    </row>
    <row r="4" spans="1:22" ht="17.25" thickBot="1" x14ac:dyDescent="0.35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5"/>
      <c r="L4" s="112"/>
      <c r="M4" s="113"/>
      <c r="N4" s="113"/>
      <c r="O4" s="113"/>
      <c r="P4" s="113"/>
      <c r="Q4" s="113"/>
      <c r="R4" s="114"/>
      <c r="S4" s="120"/>
      <c r="T4" s="104"/>
      <c r="U4" s="104"/>
      <c r="V4" s="105"/>
    </row>
    <row r="5" spans="1:22" ht="21" x14ac:dyDescent="0.4">
      <c r="A5" s="157" t="s">
        <v>418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241" t="str">
        <f>IF('FR-BO'!V5=1,"DE",IF('FR-BO'!V5=2,"EN",IF('FR-BO'!V5=3,"FR",0)))</f>
        <v>DE</v>
      </c>
      <c r="V5" s="242">
        <v>1</v>
      </c>
    </row>
    <row r="6" spans="1:22" s="17" customFormat="1" ht="47.25" customHeight="1" x14ac:dyDescent="0.25">
      <c r="A6" s="121" t="str">
        <f>HLOOKUP($U$5,Texte!$A$1:$C$1424,2,FALSE)</f>
        <v>Konfiguration Heftmaschine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3"/>
    </row>
    <row r="7" spans="1:22" ht="22.5" x14ac:dyDescent="0.3">
      <c r="A7" s="124"/>
      <c r="B7" s="146" t="str">
        <f>HLOOKUP($U$5,Texte!$A$1:$C$1424,3,FALSE)</f>
        <v>Firma:</v>
      </c>
      <c r="C7" s="146"/>
      <c r="D7" s="146"/>
      <c r="E7" s="146"/>
      <c r="F7" s="147"/>
      <c r="G7" s="148"/>
      <c r="H7" s="148"/>
      <c r="I7" s="148"/>
      <c r="J7" s="149"/>
      <c r="K7" s="146" t="str">
        <f>HLOOKUP($U$5,Texte!$A$1:$C$1424,8,FALSE)</f>
        <v>Telefon:</v>
      </c>
      <c r="L7" s="146"/>
      <c r="M7" s="146"/>
      <c r="N7" s="146"/>
      <c r="O7" s="146"/>
      <c r="P7" s="147"/>
      <c r="Q7" s="148"/>
      <c r="R7" s="148"/>
      <c r="S7" s="148"/>
      <c r="T7" s="148"/>
      <c r="U7" s="149"/>
      <c r="V7" s="125"/>
    </row>
    <row r="8" spans="1:22" s="18" customFormat="1" ht="29.25" customHeight="1" x14ac:dyDescent="0.25">
      <c r="A8" s="124"/>
      <c r="B8" s="146" t="str">
        <f>HLOOKUP($U$5,Texte!$A$1:$C$1424,4,FALSE)</f>
        <v>Straße:</v>
      </c>
      <c r="C8" s="146"/>
      <c r="D8" s="146"/>
      <c r="E8" s="146"/>
      <c r="F8" s="147"/>
      <c r="G8" s="148"/>
      <c r="H8" s="148"/>
      <c r="I8" s="148"/>
      <c r="J8" s="149"/>
      <c r="K8" s="146" t="str">
        <f>HLOOKUP($U$5,Texte!$A$1:$C$1424,9,FALSE)</f>
        <v>Email:</v>
      </c>
      <c r="L8" s="146"/>
      <c r="M8" s="146"/>
      <c r="N8" s="146"/>
      <c r="O8" s="146"/>
      <c r="P8" s="150"/>
      <c r="Q8" s="150"/>
      <c r="R8" s="150"/>
      <c r="S8" s="150"/>
      <c r="T8" s="150"/>
      <c r="U8" s="150"/>
      <c r="V8" s="125"/>
    </row>
    <row r="9" spans="1:22" s="18" customFormat="1" ht="30" customHeight="1" x14ac:dyDescent="0.25">
      <c r="A9" s="124"/>
      <c r="B9" s="146" t="str">
        <f>HLOOKUP($U$5,Texte!$A$1:$C$1424,5,FALSE)</f>
        <v>PLZ/Ort:</v>
      </c>
      <c r="C9" s="146"/>
      <c r="D9" s="146"/>
      <c r="E9" s="146"/>
      <c r="F9" s="147"/>
      <c r="G9" s="148"/>
      <c r="H9" s="148"/>
      <c r="I9" s="148"/>
      <c r="J9" s="149"/>
      <c r="K9" s="146" t="str">
        <f>HLOOKUP($U$5,Texte!$A$1:$C$1424,10,FALSE)</f>
        <v>Abteilung:</v>
      </c>
      <c r="L9" s="146"/>
      <c r="M9" s="146"/>
      <c r="N9" s="146"/>
      <c r="O9" s="146"/>
      <c r="P9" s="150"/>
      <c r="Q9" s="150"/>
      <c r="R9" s="150"/>
      <c r="S9" s="150"/>
      <c r="T9" s="150"/>
      <c r="U9" s="150"/>
      <c r="V9" s="125"/>
    </row>
    <row r="10" spans="1:22" s="18" customFormat="1" ht="28.5" customHeight="1" x14ac:dyDescent="0.25">
      <c r="A10" s="124"/>
      <c r="B10" s="146" t="str">
        <f>HLOOKUP($U$5,Texte!$A$1:$C$1424,6,FALSE)</f>
        <v>Land:</v>
      </c>
      <c r="C10" s="146"/>
      <c r="D10" s="146"/>
      <c r="E10" s="146"/>
      <c r="F10" s="147"/>
      <c r="G10" s="148"/>
      <c r="H10" s="148"/>
      <c r="I10" s="148"/>
      <c r="J10" s="149"/>
      <c r="K10" s="146" t="str">
        <f>HLOOKUP($U$5,Texte!$A$1:$C$1424,11,FALSE)</f>
        <v>Projekt:</v>
      </c>
      <c r="L10" s="146"/>
      <c r="M10" s="146"/>
      <c r="N10" s="146"/>
      <c r="O10" s="146"/>
      <c r="P10" s="150"/>
      <c r="Q10" s="150"/>
      <c r="R10" s="150"/>
      <c r="S10" s="150"/>
      <c r="T10" s="150"/>
      <c r="U10" s="150"/>
      <c r="V10" s="125"/>
    </row>
    <row r="11" spans="1:22" s="18" customFormat="1" ht="26.25" customHeight="1" x14ac:dyDescent="0.25">
      <c r="A11" s="124"/>
      <c r="B11" s="151" t="str">
        <f>HLOOKUP($U$5,Texte!$A$1:$C$1424,7,FALSE)</f>
        <v>Ansprechpartner:</v>
      </c>
      <c r="C11" s="151"/>
      <c r="D11" s="151"/>
      <c r="E11" s="151"/>
      <c r="F11" s="147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125"/>
    </row>
    <row r="12" spans="1:22" s="17" customFormat="1" ht="9.9499999999999993" customHeight="1" x14ac:dyDescent="0.3">
      <c r="A12" s="93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102"/>
    </row>
    <row r="13" spans="1:22" s="17" customFormat="1" ht="49.7" customHeight="1" x14ac:dyDescent="0.25">
      <c r="A13" s="55"/>
      <c r="B13" s="152" t="str">
        <f>HLOOKUP($U$5,Texte!$A$1:$C$1424,12,FALSE)</f>
        <v>Bitte füllen Sie den Fragebogen nach Ihren Angaben aus.
Es müssen nicht alle Felder ausgefüllt werden.</v>
      </c>
      <c r="C13" s="152"/>
      <c r="D13" s="152"/>
      <c r="E13" s="152"/>
      <c r="F13" s="152"/>
      <c r="G13" s="152" t="e">
        <f>HLOOKUP($Q$5,Texte!$A$1:$C$1424,11,FALSE)</f>
        <v>#N/A</v>
      </c>
      <c r="H13" s="152"/>
      <c r="I13" s="152"/>
      <c r="J13" s="152"/>
      <c r="K13" s="152"/>
      <c r="L13" s="152" t="e">
        <f>HLOOKUP($Q$5,Texte!$A$1:$C$1424,11,FALSE)</f>
        <v>#N/A</v>
      </c>
      <c r="M13" s="152"/>
      <c r="N13" s="152"/>
      <c r="O13" s="152"/>
      <c r="P13" s="152"/>
      <c r="Q13" s="152" t="e">
        <f>HLOOKUP($Q$5,Texte!$A$1:$C$1424,11,FALSE)</f>
        <v>#N/A</v>
      </c>
      <c r="R13" s="152"/>
      <c r="S13" s="152"/>
      <c r="T13" s="152"/>
      <c r="U13" s="152"/>
      <c r="V13" s="56"/>
    </row>
    <row r="14" spans="1:22" ht="9.9499999999999993" customHeight="1" x14ac:dyDescent="0.3">
      <c r="A14" s="93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102"/>
    </row>
    <row r="15" spans="1:22" ht="21" x14ac:dyDescent="0.4">
      <c r="A15" s="93"/>
      <c r="B15" s="57" t="s">
        <v>41</v>
      </c>
      <c r="C15" s="126" t="str">
        <f>HLOOKUP($U$5,Texte!$A$1:$C$1424,13,FALSE)</f>
        <v>Kategorie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7"/>
    </row>
    <row r="16" spans="1:22" ht="18" x14ac:dyDescent="0.35">
      <c r="A16" s="93"/>
      <c r="B16" s="20"/>
      <c r="C16" s="154" t="str">
        <f>HLOOKUP($U$5,Texte!$A$1:$C$1424,14,FALSE)</f>
        <v>Heften</v>
      </c>
      <c r="D16" s="154"/>
      <c r="E16" s="154"/>
      <c r="F16" s="153"/>
      <c r="G16" s="153"/>
      <c r="H16" s="153"/>
      <c r="I16" s="153"/>
      <c r="J16" s="153"/>
      <c r="K16" s="153"/>
      <c r="L16" s="20"/>
      <c r="M16" s="154" t="str">
        <f>HLOOKUP($U$5,Texte!$A$1:$C$1424,15,FALSE)</f>
        <v>Nageln</v>
      </c>
      <c r="N16" s="154"/>
      <c r="O16" s="21"/>
      <c r="P16" s="153"/>
      <c r="Q16" s="153"/>
      <c r="R16" s="153"/>
      <c r="S16" s="153"/>
      <c r="T16" s="153"/>
      <c r="U16" s="155"/>
      <c r="V16" s="128"/>
    </row>
    <row r="17" spans="1:22" ht="18" x14ac:dyDescent="0.3">
      <c r="A17" s="93"/>
      <c r="B17" s="19"/>
      <c r="C17" s="58" t="str">
        <f>HLOOKUP($U$5,Texte!$A$1:$C$1424,16,FALSE)</f>
        <v>Material</v>
      </c>
      <c r="D17" s="17"/>
      <c r="E17" s="18">
        <v>1</v>
      </c>
      <c r="F17" s="89"/>
      <c r="G17" s="89"/>
      <c r="H17" s="89"/>
      <c r="I17" s="89"/>
      <c r="J17" s="89"/>
      <c r="K17" s="89"/>
      <c r="L17" s="22"/>
      <c r="M17" s="58" t="str">
        <f>HLOOKUP($U$5,Texte!$A$1:$C$1424,16,FALSE)</f>
        <v>Material</v>
      </c>
      <c r="N17" s="17"/>
      <c r="O17" s="18">
        <v>1</v>
      </c>
      <c r="P17" s="89"/>
      <c r="Q17" s="89"/>
      <c r="R17" s="89"/>
      <c r="S17" s="89"/>
      <c r="T17" s="89"/>
      <c r="U17" s="90"/>
      <c r="V17" s="128"/>
    </row>
    <row r="18" spans="1:22" s="17" customFormat="1" ht="22.5" customHeight="1" x14ac:dyDescent="0.25">
      <c r="A18" s="93"/>
      <c r="B18" s="19"/>
      <c r="C18" s="58" t="str">
        <f>HLOOKUP($U$5,Texte!$A$1:$C$1424,16,FALSE)</f>
        <v>Material</v>
      </c>
      <c r="E18" s="18">
        <v>2</v>
      </c>
      <c r="F18" s="89"/>
      <c r="G18" s="89"/>
      <c r="H18" s="89"/>
      <c r="I18" s="89"/>
      <c r="J18" s="89"/>
      <c r="K18" s="89"/>
      <c r="L18" s="22"/>
      <c r="M18" s="58" t="str">
        <f>HLOOKUP($U$5,Texte!$A$1:$C$1424,16,FALSE)</f>
        <v>Material</v>
      </c>
      <c r="O18" s="18">
        <v>2</v>
      </c>
      <c r="P18" s="89"/>
      <c r="Q18" s="89"/>
      <c r="R18" s="89"/>
      <c r="S18" s="89"/>
      <c r="T18" s="89"/>
      <c r="U18" s="90"/>
      <c r="V18" s="128"/>
    </row>
    <row r="19" spans="1:22" s="17" customFormat="1" ht="22.5" customHeight="1" x14ac:dyDescent="0.3">
      <c r="A19" s="93"/>
      <c r="B19" s="23"/>
      <c r="C19" s="24"/>
      <c r="D19" s="24"/>
      <c r="E19" s="24"/>
      <c r="F19" s="97"/>
      <c r="G19" s="97"/>
      <c r="H19" s="97"/>
      <c r="I19" s="97"/>
      <c r="J19" s="97"/>
      <c r="K19" s="97"/>
      <c r="L19" s="23"/>
      <c r="M19" s="24"/>
      <c r="N19" s="24"/>
      <c r="O19" s="24"/>
      <c r="P19" s="97"/>
      <c r="Q19" s="97"/>
      <c r="R19" s="97"/>
      <c r="S19" s="97"/>
      <c r="T19" s="97"/>
      <c r="U19" s="156"/>
      <c r="V19" s="128"/>
    </row>
    <row r="20" spans="1:22" ht="9.9499999999999993" customHeight="1" x14ac:dyDescent="0.3">
      <c r="A20" s="93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102"/>
    </row>
    <row r="21" spans="1:22" ht="21" x14ac:dyDescent="0.4">
      <c r="A21" s="93"/>
      <c r="B21" s="57" t="s">
        <v>43</v>
      </c>
      <c r="C21" s="98" t="s">
        <v>40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59"/>
    </row>
    <row r="22" spans="1:22" ht="21.95" customHeight="1" x14ac:dyDescent="0.3">
      <c r="A22" s="93"/>
      <c r="B22" s="27" t="str">
        <f>HLOOKUP($U$5,Texte!$A$1:$C$1424,16,FALSE)</f>
        <v>Material</v>
      </c>
      <c r="C22" s="25"/>
      <c r="D22" s="26" t="s">
        <v>44</v>
      </c>
      <c r="E22" s="27"/>
      <c r="F22" s="142" t="str">
        <f>HLOOKUP($U$5,Texte!$A$1:$C$1424,18,FALSE)</f>
        <v xml:space="preserve">Kartonagen  </v>
      </c>
      <c r="G22" s="142"/>
      <c r="H22" s="143"/>
      <c r="I22" s="27"/>
      <c r="J22" s="142" t="str">
        <f>HLOOKUP($U$5,Texte!$A$1:$C$1424,19,FALSE)</f>
        <v>Kunststoff</v>
      </c>
      <c r="K22" s="142"/>
      <c r="L22" s="143"/>
      <c r="M22" s="27"/>
      <c r="N22" s="142" t="str">
        <f>HLOOKUP($U$5,Texte!$A$1:$C$1424,20,FALSE)</f>
        <v>Holz</v>
      </c>
      <c r="O22" s="143"/>
      <c r="P22" s="27"/>
      <c r="Q22" s="142" t="str">
        <f>HLOOKUP($U$5,Texte!$A$1:$C$1424,21,FALSE)</f>
        <v>sonst:</v>
      </c>
      <c r="R22" s="142"/>
      <c r="S22" s="129"/>
      <c r="T22" s="129"/>
      <c r="U22" s="130"/>
      <c r="V22" s="59"/>
    </row>
    <row r="23" spans="1:22" s="17" customFormat="1" ht="21.95" customHeight="1" x14ac:dyDescent="0.25">
      <c r="A23" s="93"/>
      <c r="B23" s="30" t="str">
        <f>HLOOKUP($U$5,Texte!$A$1:$C$1424,16,FALSE)</f>
        <v>Material</v>
      </c>
      <c r="C23" s="28"/>
      <c r="D23" s="29" t="s">
        <v>45</v>
      </c>
      <c r="E23" s="30"/>
      <c r="F23" s="144" t="str">
        <f>HLOOKUP($U$5,Texte!$A$1:$C$1424,18,FALSE)</f>
        <v xml:space="preserve">Kartonagen  </v>
      </c>
      <c r="G23" s="144"/>
      <c r="H23" s="145"/>
      <c r="I23" s="30"/>
      <c r="J23" s="144" t="str">
        <f>HLOOKUP($U$5,Texte!$A$1:$C$1424,19,FALSE)</f>
        <v>Kunststoff</v>
      </c>
      <c r="K23" s="144"/>
      <c r="L23" s="145"/>
      <c r="M23" s="30"/>
      <c r="N23" s="144" t="str">
        <f>HLOOKUP($U$5,Texte!$A$1:$C$1424,20,FALSE)</f>
        <v>Holz</v>
      </c>
      <c r="O23" s="145"/>
      <c r="P23" s="30"/>
      <c r="Q23" s="142" t="str">
        <f>HLOOKUP($U$5,Texte!$A$1:$C$1424,21,FALSE)</f>
        <v>sonst:</v>
      </c>
      <c r="R23" s="142"/>
      <c r="S23" s="129"/>
      <c r="T23" s="129"/>
      <c r="U23" s="130"/>
      <c r="V23" s="56"/>
    </row>
    <row r="24" spans="1:22" s="17" customFormat="1" ht="30" customHeight="1" x14ac:dyDescent="0.3">
      <c r="A24" s="93"/>
      <c r="B24" s="31"/>
      <c r="C24" s="77" t="str">
        <f>HLOOKUP($U$5,Texte!$A$1:$C$1424,22,FALSE)</f>
        <v>Vollpappe</v>
      </c>
      <c r="D24" s="77"/>
      <c r="E24" s="77"/>
      <c r="F24" s="77"/>
      <c r="G24" s="77"/>
      <c r="H24" s="136"/>
      <c r="I24" s="137"/>
      <c r="J24" s="137"/>
      <c r="K24" s="137"/>
      <c r="L24" s="137"/>
      <c r="M24" s="138" t="str">
        <f>HLOOKUP($U$5,Texte!$A$1:$C$1424,34,FALSE)</f>
        <v>Falls bekannt Stärke, bzw. FEFCO Nr. angeben.</v>
      </c>
      <c r="N24" s="138"/>
      <c r="O24" s="138"/>
      <c r="P24" s="88"/>
      <c r="Q24" s="89"/>
      <c r="R24" s="89"/>
      <c r="S24" s="89"/>
      <c r="T24" s="89"/>
      <c r="U24" s="90"/>
      <c r="V24" s="56"/>
    </row>
    <row r="25" spans="1:22" ht="30" customHeight="1" x14ac:dyDescent="0.3">
      <c r="A25" s="93"/>
      <c r="B25" s="31"/>
      <c r="C25" s="77" t="str">
        <f>HLOOKUP($U$5,Texte!$A$1:$C$1424,23,FALSE)</f>
        <v>Einfach-Wellpappe</v>
      </c>
      <c r="D25" s="77"/>
      <c r="E25" s="77"/>
      <c r="F25" s="77"/>
      <c r="G25" s="77"/>
      <c r="H25" s="136"/>
      <c r="I25" s="137"/>
      <c r="J25" s="137"/>
      <c r="K25" s="137"/>
      <c r="L25" s="137"/>
      <c r="M25" s="138"/>
      <c r="N25" s="138"/>
      <c r="O25" s="138"/>
      <c r="P25" s="88"/>
      <c r="Q25" s="89"/>
      <c r="R25" s="89"/>
      <c r="S25" s="89"/>
      <c r="T25" s="89"/>
      <c r="U25" s="90"/>
      <c r="V25" s="59"/>
    </row>
    <row r="26" spans="1:22" ht="30" customHeight="1" x14ac:dyDescent="0.3">
      <c r="A26" s="93"/>
      <c r="B26" s="31"/>
      <c r="C26" s="77" t="str">
        <f>HLOOKUP($U$5,Texte!$A$1:$C$1424,24,FALSE)</f>
        <v>Doppel-Wellpappe</v>
      </c>
      <c r="D26" s="77"/>
      <c r="E26" s="77"/>
      <c r="F26" s="77"/>
      <c r="G26" s="77"/>
      <c r="H26" s="136"/>
      <c r="I26" s="137"/>
      <c r="J26" s="137"/>
      <c r="K26" s="137"/>
      <c r="L26" s="137"/>
      <c r="M26" s="138"/>
      <c r="N26" s="138"/>
      <c r="O26" s="138"/>
      <c r="P26" s="88"/>
      <c r="Q26" s="89"/>
      <c r="R26" s="89"/>
      <c r="S26" s="89"/>
      <c r="T26" s="89"/>
      <c r="U26" s="90"/>
      <c r="V26" s="59"/>
    </row>
    <row r="27" spans="1:22" ht="30" customHeight="1" x14ac:dyDescent="0.3">
      <c r="A27" s="93"/>
      <c r="B27" s="31"/>
      <c r="C27" s="77" t="str">
        <f>HLOOKUP($U$5,Texte!$A$1:$C$1424,25,FALSE)</f>
        <v>Dreifach-Wellpappe</v>
      </c>
      <c r="D27" s="77"/>
      <c r="E27" s="77"/>
      <c r="F27" s="77"/>
      <c r="G27" s="77"/>
      <c r="H27" s="136"/>
      <c r="I27" s="137"/>
      <c r="J27" s="137"/>
      <c r="K27" s="137"/>
      <c r="L27" s="137"/>
      <c r="M27" s="139"/>
      <c r="N27" s="139"/>
      <c r="O27" s="139"/>
      <c r="P27" s="88"/>
      <c r="Q27" s="89"/>
      <c r="R27" s="89"/>
      <c r="S27" s="89"/>
      <c r="T27" s="89"/>
      <c r="U27" s="90"/>
      <c r="V27" s="59"/>
    </row>
    <row r="28" spans="1:22" ht="24.95" customHeight="1" x14ac:dyDescent="0.3">
      <c r="A28" s="93"/>
      <c r="B28" s="131" t="str">
        <f>HLOOKUP($U$5,Texte!$A$1:$C$1424,26,FALSE)</f>
        <v>Materialdicke:</v>
      </c>
      <c r="C28" s="73"/>
      <c r="D28" s="73"/>
      <c r="E28" s="132"/>
      <c r="F28" s="131" t="str">
        <f>HLOOKUP($U$5,Texte!$A$1:$C$1424,16,FALSE)</f>
        <v>Material</v>
      </c>
      <c r="G28" s="73"/>
      <c r="H28" s="86" t="s">
        <v>66</v>
      </c>
      <c r="I28" s="86"/>
      <c r="J28" s="134"/>
      <c r="K28" s="134"/>
      <c r="L28" s="135"/>
      <c r="M28" s="133" t="str">
        <f>HLOOKUP($U$5,Texte!$A$1:$C$1424,16,FALSE)</f>
        <v>Material</v>
      </c>
      <c r="N28" s="78"/>
      <c r="O28" s="77" t="s">
        <v>67</v>
      </c>
      <c r="P28" s="77"/>
      <c r="Q28" s="140"/>
      <c r="R28" s="140"/>
      <c r="S28" s="140"/>
      <c r="T28" s="140"/>
      <c r="U28" s="141"/>
      <c r="V28" s="59"/>
    </row>
    <row r="29" spans="1:22" s="17" customFormat="1" ht="24.95" customHeight="1" x14ac:dyDescent="0.3">
      <c r="A29" s="93"/>
      <c r="B29" s="32"/>
      <c r="C29" s="73" t="str">
        <f>HLOOKUP($U$5,Texte!$A$1:$C$1424,32,FALSE)</f>
        <v>Klammerposition/en</v>
      </c>
      <c r="D29" s="73"/>
      <c r="E29" s="73"/>
      <c r="F29" s="73"/>
      <c r="G29" s="73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7"/>
      <c r="V29" s="56"/>
    </row>
    <row r="30" spans="1:22" s="16" customFormat="1" ht="18" customHeight="1" x14ac:dyDescent="0.3">
      <c r="A30" s="93"/>
      <c r="B30" s="83" t="str">
        <f>HLOOKUP($U$5,Texte!$A$1:$C$1424,33,FALSE)</f>
        <v>Skizze mit Angabe der Klammerposition/en; für jede Größe eine Skizze unter Pkt. P) 
(Bitte Bilder und Muster schicken!)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38"/>
    </row>
    <row r="31" spans="1:22" s="17" customFormat="1" ht="9.9499999999999993" customHeight="1" x14ac:dyDescent="0.3">
      <c r="A31" s="93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59"/>
    </row>
    <row r="32" spans="1:22" ht="21" x14ac:dyDescent="0.4">
      <c r="A32" s="60"/>
      <c r="B32" s="57" t="s">
        <v>76</v>
      </c>
      <c r="C32" s="98" t="str">
        <f>HLOOKUP($U$5,Texte!$A$1:$C$1424,35,FALSE)</f>
        <v>Ausführung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59"/>
    </row>
    <row r="33" spans="1:22" x14ac:dyDescent="0.3">
      <c r="A33" s="60"/>
      <c r="B33" s="20"/>
      <c r="C33" s="94" t="str">
        <f>HLOOKUP($U$5,Texte!$A$1:$C$1424,36,FALSE)</f>
        <v xml:space="preserve">Faltschachteln </v>
      </c>
      <c r="D33" s="94"/>
      <c r="E33" s="94"/>
      <c r="F33" s="94"/>
      <c r="G33" s="94"/>
      <c r="H33" s="20"/>
      <c r="I33" s="94" t="str">
        <f>HLOOKUP($U$5,Texte!$A$1:$C$1424,37,FALSE)</f>
        <v>Stülpschachteln</v>
      </c>
      <c r="J33" s="94"/>
      <c r="K33" s="94"/>
      <c r="L33" s="94"/>
      <c r="M33" s="95"/>
      <c r="N33" s="21"/>
      <c r="O33" s="86" t="str">
        <f>HLOOKUP($U$5,Texte!$A$1:$C$1424,38,FALSE)</f>
        <v>Kartontrays</v>
      </c>
      <c r="P33" s="86"/>
      <c r="Q33" s="86"/>
      <c r="R33" s="86"/>
      <c r="S33" s="86"/>
      <c r="T33" s="86"/>
      <c r="U33" s="87"/>
      <c r="V33" s="59"/>
    </row>
    <row r="34" spans="1:22" ht="102" customHeight="1" x14ac:dyDescent="0.3">
      <c r="A34" s="60"/>
      <c r="B34" s="96"/>
      <c r="C34" s="97"/>
      <c r="D34" s="97"/>
      <c r="E34" s="97"/>
      <c r="F34" s="97"/>
      <c r="G34" s="97"/>
      <c r="H34" s="96"/>
      <c r="I34" s="97"/>
      <c r="J34" s="97"/>
      <c r="K34" s="89"/>
      <c r="L34" s="89"/>
      <c r="M34" s="90"/>
      <c r="N34" s="88"/>
      <c r="O34" s="89"/>
      <c r="P34" s="89"/>
      <c r="Q34" s="89"/>
      <c r="R34" s="89"/>
      <c r="S34" s="89"/>
      <c r="T34" s="89"/>
      <c r="U34" s="90"/>
      <c r="V34" s="59"/>
    </row>
    <row r="35" spans="1:22" s="17" customFormat="1" ht="24.95" customHeight="1" x14ac:dyDescent="0.25">
      <c r="A35" s="55"/>
      <c r="B35" s="34"/>
      <c r="C35" s="91" t="str">
        <f>HLOOKUP($U$5,Texte!$A$1:$C$1424,39,FALSE)</f>
        <v>Andere Kartonagen</v>
      </c>
      <c r="D35" s="91"/>
      <c r="E35" s="91"/>
      <c r="F35" s="91"/>
      <c r="G35" s="91"/>
      <c r="H35" s="91"/>
      <c r="I35" s="91"/>
      <c r="J35" s="92"/>
      <c r="K35" s="34"/>
      <c r="L35" s="91" t="str">
        <f>HLOOKUP($U$5,Texte!$A$1:$C$1424,40,FALSE)</f>
        <v xml:space="preserve">Andere Artikel     </v>
      </c>
      <c r="M35" s="91"/>
      <c r="N35" s="91"/>
      <c r="O35" s="91"/>
      <c r="P35" s="91"/>
      <c r="Q35" s="91"/>
      <c r="R35" s="91"/>
      <c r="S35" s="91"/>
      <c r="T35" s="91"/>
      <c r="U35" s="92"/>
      <c r="V35" s="56"/>
    </row>
    <row r="36" spans="1:22" s="18" customFormat="1" ht="16.350000000000001" customHeight="1" x14ac:dyDescent="0.25">
      <c r="A36" s="55"/>
      <c r="B36" s="83" t="str">
        <f>HLOOKUP($U$5,Texte!$A$1:$C$1424,41,FALSE)</f>
        <v>(bitte genau definieren unter P) oder/und Bilder einfügen)</v>
      </c>
      <c r="C36" s="84"/>
      <c r="D36" s="84"/>
      <c r="E36" s="84"/>
      <c r="F36" s="84"/>
      <c r="G36" s="84"/>
      <c r="H36" s="84"/>
      <c r="I36" s="84"/>
      <c r="J36" s="85"/>
      <c r="K36" s="83" t="str">
        <f>HLOOKUP($U$5,Texte!$A$1:$C$1424,41,FALSE)</f>
        <v>(bitte genau definieren unter P) oder/und Bilder einfügen)</v>
      </c>
      <c r="L36" s="84"/>
      <c r="M36" s="84"/>
      <c r="N36" s="84"/>
      <c r="O36" s="84"/>
      <c r="P36" s="84"/>
      <c r="Q36" s="84"/>
      <c r="R36" s="84"/>
      <c r="S36" s="84"/>
      <c r="T36" s="84"/>
      <c r="U36" s="85"/>
      <c r="V36" s="61"/>
    </row>
    <row r="37" spans="1:22" s="17" customFormat="1" ht="103.35" customHeight="1" thickBot="1" x14ac:dyDescent="0.3">
      <c r="A37" s="195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7"/>
    </row>
    <row r="38" spans="1:22" x14ac:dyDescent="0.3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1"/>
      <c r="L38" s="106" t="s">
        <v>3</v>
      </c>
      <c r="M38" s="107"/>
      <c r="N38" s="107"/>
      <c r="O38" s="107"/>
      <c r="P38" s="107"/>
      <c r="Q38" s="107"/>
      <c r="R38" s="108"/>
      <c r="S38" s="115"/>
      <c r="T38" s="115"/>
      <c r="U38" s="115"/>
      <c r="V38" s="116"/>
    </row>
    <row r="39" spans="1:22" x14ac:dyDescent="0.3">
      <c r="A39" s="93"/>
      <c r="B39" s="89"/>
      <c r="C39" s="89"/>
      <c r="D39" s="89"/>
      <c r="E39" s="89"/>
      <c r="F39" s="89"/>
      <c r="G39" s="89"/>
      <c r="H39" s="89"/>
      <c r="I39" s="89"/>
      <c r="J39" s="89"/>
      <c r="K39" s="102"/>
      <c r="L39" s="109"/>
      <c r="M39" s="110"/>
      <c r="N39" s="110"/>
      <c r="O39" s="110"/>
      <c r="P39" s="110"/>
      <c r="Q39" s="110"/>
      <c r="R39" s="111"/>
      <c r="S39" s="117" t="s">
        <v>4</v>
      </c>
      <c r="T39" s="118"/>
      <c r="U39" s="118"/>
      <c r="V39" s="14">
        <v>2</v>
      </c>
    </row>
    <row r="40" spans="1:22" x14ac:dyDescent="0.3">
      <c r="A40" s="93"/>
      <c r="B40" s="89"/>
      <c r="C40" s="89"/>
      <c r="D40" s="89"/>
      <c r="E40" s="89"/>
      <c r="F40" s="89"/>
      <c r="G40" s="89"/>
      <c r="H40" s="89"/>
      <c r="I40" s="89"/>
      <c r="J40" s="89"/>
      <c r="K40" s="102"/>
      <c r="L40" s="109"/>
      <c r="M40" s="110"/>
      <c r="N40" s="110"/>
      <c r="O40" s="110"/>
      <c r="P40" s="110"/>
      <c r="Q40" s="110"/>
      <c r="R40" s="111"/>
      <c r="S40" s="118" t="str">
        <f>$S$3</f>
        <v>Status: 12/2023</v>
      </c>
      <c r="T40" s="118"/>
      <c r="U40" s="118"/>
      <c r="V40" s="119"/>
    </row>
    <row r="41" spans="1:22" ht="17.25" thickBot="1" x14ac:dyDescent="0.35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5"/>
      <c r="L41" s="112"/>
      <c r="M41" s="113"/>
      <c r="N41" s="113"/>
      <c r="O41" s="113"/>
      <c r="P41" s="113"/>
      <c r="Q41" s="113"/>
      <c r="R41" s="114"/>
      <c r="S41" s="120"/>
      <c r="T41" s="104"/>
      <c r="U41" s="104"/>
      <c r="V41" s="105"/>
    </row>
    <row r="42" spans="1:22" ht="9.9499999999999993" customHeight="1" x14ac:dyDescent="0.3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1"/>
    </row>
    <row r="43" spans="1:22" ht="21" x14ac:dyDescent="0.4">
      <c r="A43" s="93"/>
      <c r="B43" s="57" t="s">
        <v>80</v>
      </c>
      <c r="C43" s="98" t="str">
        <f>HLOOKUP($U$5,Texte!$A$1:$C$1424,42,FALSE)</f>
        <v>Art des Verschlusses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102"/>
    </row>
    <row r="44" spans="1:22" x14ac:dyDescent="0.3">
      <c r="A44" s="93"/>
      <c r="B44" s="20"/>
      <c r="C44" s="94" t="str">
        <f>HLOOKUP($U$5,Texte!$A$1:$C$1424,43,FALSE)</f>
        <v>Bodenverschluss</v>
      </c>
      <c r="D44" s="94"/>
      <c r="E44" s="94"/>
      <c r="F44" s="94"/>
      <c r="G44" s="94"/>
      <c r="H44" s="20"/>
      <c r="I44" s="94" t="str">
        <f>HLOOKUP($U$5,Texte!$A$1:$C$1424,44,FALSE)</f>
        <v>Deckelverschluss</v>
      </c>
      <c r="J44" s="94"/>
      <c r="K44" s="94"/>
      <c r="L44" s="94"/>
      <c r="M44" s="95"/>
      <c r="N44" s="21"/>
      <c r="O44" s="86" t="str">
        <f>HLOOKUP($U$5,Texte!$A$1:$C$1424,45,FALSE)</f>
        <v xml:space="preserve">Boden-/Deckel-Tray </v>
      </c>
      <c r="P44" s="86"/>
      <c r="Q44" s="86"/>
      <c r="R44" s="86"/>
      <c r="S44" s="86"/>
      <c r="T44" s="86"/>
      <c r="U44" s="87"/>
      <c r="V44" s="102"/>
    </row>
    <row r="45" spans="1:22" ht="97.5" customHeight="1" x14ac:dyDescent="0.3">
      <c r="A45" s="93"/>
      <c r="B45" s="96"/>
      <c r="C45" s="97"/>
      <c r="D45" s="97"/>
      <c r="E45" s="97"/>
      <c r="F45" s="97"/>
      <c r="G45" s="97"/>
      <c r="H45" s="96"/>
      <c r="I45" s="97"/>
      <c r="J45" s="97"/>
      <c r="K45" s="89"/>
      <c r="L45" s="89"/>
      <c r="M45" s="90"/>
      <c r="N45" s="88"/>
      <c r="O45" s="89"/>
      <c r="P45" s="89"/>
      <c r="Q45" s="89"/>
      <c r="R45" s="89"/>
      <c r="S45" s="89"/>
      <c r="T45" s="89"/>
      <c r="U45" s="90"/>
      <c r="V45" s="102"/>
    </row>
    <row r="46" spans="1:22" ht="24.95" customHeight="1" x14ac:dyDescent="0.3">
      <c r="A46" s="93"/>
      <c r="B46" s="39"/>
      <c r="C46" s="86" t="str">
        <f>HLOOKUP($U$5,Texte!$A$1:$C$1424,39,FALSE)</f>
        <v>Andere Kartonagen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7"/>
      <c r="V46" s="102"/>
    </row>
    <row r="47" spans="1:22" s="18" customFormat="1" ht="12.4" customHeight="1" x14ac:dyDescent="0.25">
      <c r="A47" s="93"/>
      <c r="B47" s="160" t="str">
        <f>HLOOKUP($U$5,Texte!$A$1:$C$1424,41,FALSE)</f>
        <v>(bitte genau definieren unter P) oder/und Bilder einfügen)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2"/>
      <c r="V47" s="102"/>
    </row>
    <row r="48" spans="1:22" ht="9.9499999999999993" customHeight="1" x14ac:dyDescent="0.3">
      <c r="A48" s="93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102"/>
    </row>
    <row r="49" spans="1:22" ht="21" x14ac:dyDescent="0.4">
      <c r="A49" s="93"/>
      <c r="B49" s="57" t="s">
        <v>81</v>
      </c>
      <c r="C49" s="126" t="str">
        <f>HLOOKUP($U$5,Texte!$A$1:$C$1424,105,FALSE)</f>
        <v>Karton mit Inhalt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02"/>
    </row>
    <row r="50" spans="1:22" s="18" customFormat="1" ht="24.6" customHeight="1" x14ac:dyDescent="0.25">
      <c r="A50" s="93"/>
      <c r="B50" s="159" t="str">
        <f>HLOOKUP($U$5,Texte!$A$1:$C$1424,46,FALSE)</f>
        <v>Gewicht:</v>
      </c>
      <c r="C50" s="136"/>
      <c r="D50" s="169"/>
      <c r="E50" s="169"/>
      <c r="F50" s="169"/>
      <c r="G50" s="77" t="s">
        <v>85</v>
      </c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136"/>
      <c r="V50" s="102"/>
    </row>
    <row r="51" spans="1:22" s="18" customFormat="1" ht="24.6" customHeight="1" x14ac:dyDescent="0.25">
      <c r="A51" s="93"/>
      <c r="B51" s="167" t="str">
        <f>HLOOKUP($U$5,Texte!$A$1:$C$1424,47,FALSE)</f>
        <v>Inhalt:</v>
      </c>
      <c r="C51" s="168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1"/>
      <c r="V51" s="102"/>
    </row>
    <row r="52" spans="1:22" ht="9.9499999999999993" customHeight="1" x14ac:dyDescent="0.3">
      <c r="A52" s="93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102"/>
    </row>
    <row r="53" spans="1:22" ht="21" x14ac:dyDescent="0.4">
      <c r="A53" s="93"/>
      <c r="B53" s="57" t="s">
        <v>86</v>
      </c>
      <c r="C53" s="126" t="str">
        <f>HLOOKUP($U$5,Texte!$A$1:$C$1424,48,FALSE)</f>
        <v>Größen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02"/>
    </row>
    <row r="54" spans="1:22" s="17" customFormat="1" ht="19.7" customHeight="1" x14ac:dyDescent="0.25">
      <c r="A54" s="93"/>
      <c r="B54" s="34"/>
      <c r="C54" s="91" t="str">
        <f>HLOOKUP($U$5,Texte!$A$1:$C$1424,49,FALSE)</f>
        <v xml:space="preserve">Karton     </v>
      </c>
      <c r="D54" s="91"/>
      <c r="E54" s="91"/>
      <c r="F54" s="91"/>
      <c r="G54" s="92"/>
      <c r="H54" s="34"/>
      <c r="I54" s="91" t="str">
        <f>HLOOKUP($U$5,Texte!$A$1:$C$1424,50,FALSE)</f>
        <v xml:space="preserve">Tray </v>
      </c>
      <c r="J54" s="91"/>
      <c r="K54" s="91"/>
      <c r="L54" s="91"/>
      <c r="M54" s="91"/>
      <c r="N54" s="91"/>
      <c r="O54" s="92"/>
      <c r="P54" s="35"/>
      <c r="Q54" s="91" t="str">
        <f>HLOOKUP($U$5,Texte!$A$1:$C$1424,51,FALSE)</f>
        <v>Sonstiges</v>
      </c>
      <c r="R54" s="91"/>
      <c r="S54" s="91"/>
      <c r="T54" s="91"/>
      <c r="U54" s="92"/>
      <c r="V54" s="102"/>
    </row>
    <row r="55" spans="1:22" x14ac:dyDescent="0.3">
      <c r="A55" s="93"/>
      <c r="B55" s="88"/>
      <c r="C55" s="89"/>
      <c r="D55" s="89"/>
      <c r="E55" s="89"/>
      <c r="F55" s="89"/>
      <c r="G55" s="90"/>
      <c r="H55" s="163" t="str">
        <f>HLOOKUP($U$5,Texte!$A$1:$C$1424,52,FALSE)</f>
        <v>Klappenfaltung:</v>
      </c>
      <c r="I55" s="118"/>
      <c r="J55" s="118"/>
      <c r="K55" s="118"/>
      <c r="L55" s="118"/>
      <c r="M55" s="118"/>
      <c r="N55" s="118"/>
      <c r="O55" s="164"/>
      <c r="P55" s="165" t="str">
        <f>HLOOKUP($U$5,Texte!$A$1:$C$1424,55,FALSE)</f>
        <v>(bitte angeben 
unter P)</v>
      </c>
      <c r="Q55" s="165"/>
      <c r="R55" s="165"/>
      <c r="S55" s="165"/>
      <c r="T55" s="165"/>
      <c r="U55" s="166"/>
      <c r="V55" s="102"/>
    </row>
    <row r="56" spans="1:22" x14ac:dyDescent="0.3">
      <c r="A56" s="93"/>
      <c r="B56" s="88"/>
      <c r="C56" s="89"/>
      <c r="D56" s="89"/>
      <c r="E56" s="89"/>
      <c r="F56" s="89"/>
      <c r="G56" s="90"/>
      <c r="H56" s="43" t="s">
        <v>95</v>
      </c>
      <c r="J56" s="118" t="str">
        <f>HLOOKUP($U$5,Texte!$A$1:$C$1424,53,FALSE)</f>
        <v xml:space="preserve">außen                   </v>
      </c>
      <c r="K56" s="118"/>
      <c r="L56" s="62" t="s">
        <v>96</v>
      </c>
      <c r="N56" s="118" t="str">
        <f>HLOOKUP($U$5,Texte!$A$1:$C$1424,54,FALSE)</f>
        <v xml:space="preserve">innen </v>
      </c>
      <c r="O56" s="164"/>
      <c r="P56" s="165"/>
      <c r="Q56" s="165"/>
      <c r="R56" s="165"/>
      <c r="S56" s="165"/>
      <c r="T56" s="165"/>
      <c r="U56" s="166"/>
      <c r="V56" s="102"/>
    </row>
    <row r="57" spans="1:22" ht="97.5" customHeight="1" x14ac:dyDescent="0.3">
      <c r="A57" s="93"/>
      <c r="B57" s="96"/>
      <c r="C57" s="97"/>
      <c r="D57" s="97"/>
      <c r="E57" s="97"/>
      <c r="F57" s="97"/>
      <c r="G57" s="156"/>
      <c r="H57" s="96"/>
      <c r="I57" s="97"/>
      <c r="J57" s="97"/>
      <c r="K57" s="97"/>
      <c r="L57" s="97"/>
      <c r="M57" s="97"/>
      <c r="N57" s="97"/>
      <c r="O57" s="156"/>
      <c r="P57" s="97"/>
      <c r="Q57" s="97"/>
      <c r="R57" s="97"/>
      <c r="S57" s="97"/>
      <c r="T57" s="97"/>
      <c r="U57" s="156"/>
      <c r="V57" s="102"/>
    </row>
    <row r="58" spans="1:22" ht="9.9499999999999993" customHeight="1" x14ac:dyDescent="0.3">
      <c r="A58" s="93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102"/>
    </row>
    <row r="59" spans="1:22" ht="21" x14ac:dyDescent="0.4">
      <c r="A59" s="180"/>
      <c r="B59" s="174" t="str">
        <f>HLOOKUP($U$5,Texte!$A$1:$C$1424,56,FALSE)</f>
        <v>Teilbezeichnung</v>
      </c>
      <c r="C59" s="174"/>
      <c r="D59" s="174"/>
      <c r="E59" s="174"/>
      <c r="F59" s="174"/>
      <c r="G59" s="174"/>
      <c r="H59" s="174"/>
      <c r="I59" s="174"/>
      <c r="J59" s="172" t="str">
        <f>HLOOKUP($U$5,Texte!$A$1:$C$1424,57,FALSE)</f>
        <v>Karton/Tray</v>
      </c>
      <c r="K59" s="173"/>
      <c r="L59" s="173"/>
      <c r="M59" s="173"/>
      <c r="N59" s="173"/>
      <c r="O59" s="173"/>
      <c r="P59" s="173" t="str">
        <f>HLOOKUP($U$5,Texte!$A$1:$C$1424,58,FALSE)</f>
        <v>Karton/-deckel/-boden</v>
      </c>
      <c r="Q59" s="173"/>
      <c r="R59" s="173"/>
      <c r="S59" s="173"/>
      <c r="T59" s="173"/>
      <c r="U59" s="173"/>
      <c r="V59" s="179"/>
    </row>
    <row r="60" spans="1:22" s="70" customFormat="1" ht="30.95" customHeight="1" x14ac:dyDescent="0.25">
      <c r="A60" s="180"/>
      <c r="B60" s="174"/>
      <c r="C60" s="174"/>
      <c r="D60" s="174"/>
      <c r="E60" s="174"/>
      <c r="F60" s="174"/>
      <c r="G60" s="174"/>
      <c r="H60" s="174"/>
      <c r="I60" s="174"/>
      <c r="J60" s="175" t="s">
        <v>101</v>
      </c>
      <c r="K60" s="175"/>
      <c r="L60" s="175" t="s">
        <v>102</v>
      </c>
      <c r="M60" s="175"/>
      <c r="N60" s="175" t="s">
        <v>103</v>
      </c>
      <c r="O60" s="175"/>
      <c r="P60" s="175" t="s">
        <v>104</v>
      </c>
      <c r="Q60" s="175"/>
      <c r="R60" s="175" t="s">
        <v>105</v>
      </c>
      <c r="S60" s="175"/>
      <c r="T60" s="175" t="s">
        <v>100</v>
      </c>
      <c r="U60" s="175"/>
      <c r="V60" s="179"/>
    </row>
    <row r="61" spans="1:22" ht="26.65" customHeight="1" x14ac:dyDescent="0.3">
      <c r="A61" s="180"/>
      <c r="B61" s="79"/>
      <c r="C61" s="79"/>
      <c r="D61" s="79"/>
      <c r="E61" s="79"/>
      <c r="F61" s="79"/>
      <c r="G61" s="79"/>
      <c r="H61" s="79"/>
      <c r="I61" s="79"/>
      <c r="J61" s="80"/>
      <c r="K61" s="80"/>
      <c r="L61" s="80"/>
      <c r="M61" s="80"/>
      <c r="N61" s="81"/>
      <c r="O61" s="82"/>
      <c r="P61" s="80"/>
      <c r="Q61" s="80"/>
      <c r="R61" s="80"/>
      <c r="S61" s="80"/>
      <c r="T61" s="80"/>
      <c r="U61" s="80"/>
      <c r="V61" s="179"/>
    </row>
    <row r="62" spans="1:22" ht="26.65" customHeight="1" x14ac:dyDescent="0.3">
      <c r="A62" s="180"/>
      <c r="B62" s="79"/>
      <c r="C62" s="79"/>
      <c r="D62" s="79"/>
      <c r="E62" s="79"/>
      <c r="F62" s="79"/>
      <c r="G62" s="79"/>
      <c r="H62" s="79"/>
      <c r="I62" s="79"/>
      <c r="J62" s="80"/>
      <c r="K62" s="80"/>
      <c r="L62" s="80"/>
      <c r="M62" s="80"/>
      <c r="N62" s="81"/>
      <c r="O62" s="82"/>
      <c r="P62" s="80"/>
      <c r="Q62" s="80"/>
      <c r="R62" s="80"/>
      <c r="S62" s="80"/>
      <c r="T62" s="80"/>
      <c r="U62" s="80"/>
      <c r="V62" s="179"/>
    </row>
    <row r="63" spans="1:22" ht="26.65" customHeight="1" x14ac:dyDescent="0.3">
      <c r="A63" s="180"/>
      <c r="B63" s="79"/>
      <c r="C63" s="79"/>
      <c r="D63" s="79"/>
      <c r="E63" s="79"/>
      <c r="F63" s="79"/>
      <c r="G63" s="79"/>
      <c r="H63" s="79"/>
      <c r="I63" s="79"/>
      <c r="J63" s="80"/>
      <c r="K63" s="80"/>
      <c r="L63" s="80"/>
      <c r="M63" s="80"/>
      <c r="N63" s="81"/>
      <c r="O63" s="82"/>
      <c r="P63" s="80"/>
      <c r="Q63" s="80"/>
      <c r="R63" s="80"/>
      <c r="S63" s="80"/>
      <c r="T63" s="80"/>
      <c r="U63" s="80"/>
      <c r="V63" s="179"/>
    </row>
    <row r="64" spans="1:22" ht="26.65" customHeight="1" x14ac:dyDescent="0.3">
      <c r="A64" s="180"/>
      <c r="B64" s="79"/>
      <c r="C64" s="79"/>
      <c r="D64" s="79"/>
      <c r="E64" s="79"/>
      <c r="F64" s="79"/>
      <c r="G64" s="79"/>
      <c r="H64" s="79"/>
      <c r="I64" s="79"/>
      <c r="J64" s="80"/>
      <c r="K64" s="80"/>
      <c r="L64" s="80"/>
      <c r="M64" s="80"/>
      <c r="N64" s="81"/>
      <c r="O64" s="82"/>
      <c r="P64" s="80"/>
      <c r="Q64" s="80"/>
      <c r="R64" s="80"/>
      <c r="S64" s="80"/>
      <c r="T64" s="80"/>
      <c r="U64" s="80"/>
      <c r="V64" s="179"/>
    </row>
    <row r="65" spans="1:22" ht="26.65" customHeight="1" x14ac:dyDescent="0.3">
      <c r="A65" s="180"/>
      <c r="B65" s="79"/>
      <c r="C65" s="79"/>
      <c r="D65" s="79"/>
      <c r="E65" s="79"/>
      <c r="F65" s="79"/>
      <c r="G65" s="79"/>
      <c r="H65" s="79"/>
      <c r="I65" s="79"/>
      <c r="J65" s="80"/>
      <c r="K65" s="80"/>
      <c r="L65" s="80"/>
      <c r="M65" s="80"/>
      <c r="N65" s="81"/>
      <c r="O65" s="82"/>
      <c r="P65" s="80"/>
      <c r="Q65" s="80"/>
      <c r="R65" s="80"/>
      <c r="S65" s="80"/>
      <c r="T65" s="80"/>
      <c r="U65" s="80"/>
      <c r="V65" s="179"/>
    </row>
    <row r="66" spans="1:22" ht="26.65" customHeight="1" x14ac:dyDescent="0.3">
      <c r="A66" s="180"/>
      <c r="B66" s="79"/>
      <c r="C66" s="79"/>
      <c r="D66" s="79"/>
      <c r="E66" s="79"/>
      <c r="F66" s="79"/>
      <c r="G66" s="79"/>
      <c r="H66" s="79"/>
      <c r="I66" s="79"/>
      <c r="J66" s="80"/>
      <c r="K66" s="80"/>
      <c r="L66" s="80"/>
      <c r="M66" s="80"/>
      <c r="N66" s="81"/>
      <c r="O66" s="82"/>
      <c r="P66" s="80"/>
      <c r="Q66" s="80"/>
      <c r="R66" s="80"/>
      <c r="S66" s="80"/>
      <c r="T66" s="80"/>
      <c r="U66" s="80"/>
      <c r="V66" s="179"/>
    </row>
    <row r="67" spans="1:22" ht="26.65" customHeight="1" x14ac:dyDescent="0.3">
      <c r="A67" s="180"/>
      <c r="B67" s="79"/>
      <c r="C67" s="79"/>
      <c r="D67" s="79"/>
      <c r="E67" s="79"/>
      <c r="F67" s="79"/>
      <c r="G67" s="79"/>
      <c r="H67" s="79"/>
      <c r="I67" s="79"/>
      <c r="J67" s="80"/>
      <c r="K67" s="80"/>
      <c r="L67" s="80"/>
      <c r="M67" s="80"/>
      <c r="N67" s="81"/>
      <c r="O67" s="82"/>
      <c r="P67" s="80"/>
      <c r="Q67" s="80"/>
      <c r="R67" s="80"/>
      <c r="S67" s="80"/>
      <c r="T67" s="80"/>
      <c r="U67" s="80"/>
      <c r="V67" s="179"/>
    </row>
    <row r="68" spans="1:22" ht="26.65" customHeight="1" x14ac:dyDescent="0.3">
      <c r="A68" s="180"/>
      <c r="B68" s="79"/>
      <c r="C68" s="79"/>
      <c r="D68" s="79"/>
      <c r="E68" s="79"/>
      <c r="F68" s="79"/>
      <c r="G68" s="79"/>
      <c r="H68" s="79"/>
      <c r="I68" s="79"/>
      <c r="J68" s="80"/>
      <c r="K68" s="80"/>
      <c r="L68" s="80"/>
      <c r="M68" s="80"/>
      <c r="N68" s="81"/>
      <c r="O68" s="82"/>
      <c r="P68" s="80"/>
      <c r="Q68" s="80"/>
      <c r="R68" s="80"/>
      <c r="S68" s="80"/>
      <c r="T68" s="80"/>
      <c r="U68" s="80"/>
      <c r="V68" s="179"/>
    </row>
    <row r="69" spans="1:22" ht="26.65" customHeight="1" x14ac:dyDescent="0.3">
      <c r="A69" s="180"/>
      <c r="B69" s="79"/>
      <c r="C69" s="79"/>
      <c r="D69" s="79"/>
      <c r="E69" s="79"/>
      <c r="F69" s="79"/>
      <c r="G69" s="79"/>
      <c r="H69" s="79"/>
      <c r="I69" s="79"/>
      <c r="J69" s="80"/>
      <c r="K69" s="80"/>
      <c r="L69" s="80"/>
      <c r="M69" s="80"/>
      <c r="N69" s="81"/>
      <c r="O69" s="82"/>
      <c r="P69" s="80"/>
      <c r="Q69" s="80"/>
      <c r="R69" s="80"/>
      <c r="S69" s="80"/>
      <c r="T69" s="80"/>
      <c r="U69" s="80"/>
      <c r="V69" s="179"/>
    </row>
    <row r="70" spans="1:22" ht="26.65" customHeight="1" x14ac:dyDescent="0.3">
      <c r="A70" s="180"/>
      <c r="B70" s="79"/>
      <c r="C70" s="79"/>
      <c r="D70" s="79"/>
      <c r="E70" s="79"/>
      <c r="F70" s="79"/>
      <c r="G70" s="79"/>
      <c r="H70" s="79"/>
      <c r="I70" s="79"/>
      <c r="J70" s="80"/>
      <c r="K70" s="80"/>
      <c r="L70" s="80"/>
      <c r="M70" s="80"/>
      <c r="N70" s="81"/>
      <c r="O70" s="82"/>
      <c r="P70" s="80"/>
      <c r="Q70" s="80"/>
      <c r="R70" s="80"/>
      <c r="S70" s="80"/>
      <c r="T70" s="80"/>
      <c r="U70" s="80"/>
      <c r="V70" s="179"/>
    </row>
    <row r="71" spans="1:22" ht="26.65" customHeight="1" x14ac:dyDescent="0.3">
      <c r="A71" s="180"/>
      <c r="B71" s="79"/>
      <c r="C71" s="79"/>
      <c r="D71" s="79"/>
      <c r="E71" s="79"/>
      <c r="F71" s="79"/>
      <c r="G71" s="79"/>
      <c r="H71" s="79"/>
      <c r="I71" s="79"/>
      <c r="J71" s="80"/>
      <c r="K71" s="80"/>
      <c r="L71" s="80"/>
      <c r="M71" s="80"/>
      <c r="N71" s="81"/>
      <c r="O71" s="82"/>
      <c r="P71" s="80"/>
      <c r="Q71" s="80"/>
      <c r="R71" s="80"/>
      <c r="S71" s="80"/>
      <c r="T71" s="80"/>
      <c r="U71" s="80"/>
      <c r="V71" s="179"/>
    </row>
    <row r="72" spans="1:22" ht="26.65" customHeight="1" x14ac:dyDescent="0.3">
      <c r="A72" s="180"/>
      <c r="B72" s="79"/>
      <c r="C72" s="79"/>
      <c r="D72" s="79"/>
      <c r="E72" s="79"/>
      <c r="F72" s="79"/>
      <c r="G72" s="79"/>
      <c r="H72" s="79"/>
      <c r="I72" s="79"/>
      <c r="J72" s="80"/>
      <c r="K72" s="80"/>
      <c r="L72" s="80"/>
      <c r="M72" s="80"/>
      <c r="N72" s="81"/>
      <c r="O72" s="82"/>
      <c r="P72" s="80"/>
      <c r="Q72" s="80"/>
      <c r="R72" s="80"/>
      <c r="S72" s="80"/>
      <c r="T72" s="80"/>
      <c r="U72" s="80"/>
      <c r="V72" s="179"/>
    </row>
    <row r="73" spans="1:22" ht="26.65" customHeight="1" x14ac:dyDescent="0.3">
      <c r="A73" s="180"/>
      <c r="B73" s="79"/>
      <c r="C73" s="79"/>
      <c r="D73" s="79"/>
      <c r="E73" s="79"/>
      <c r="F73" s="79"/>
      <c r="G73" s="79"/>
      <c r="H73" s="79"/>
      <c r="I73" s="79"/>
      <c r="J73" s="80"/>
      <c r="K73" s="80"/>
      <c r="L73" s="80"/>
      <c r="M73" s="80"/>
      <c r="N73" s="81"/>
      <c r="O73" s="82"/>
      <c r="P73" s="80"/>
      <c r="Q73" s="80"/>
      <c r="R73" s="80"/>
      <c r="S73" s="80"/>
      <c r="T73" s="80"/>
      <c r="U73" s="80"/>
      <c r="V73" s="179"/>
    </row>
    <row r="74" spans="1:22" ht="26.65" customHeight="1" x14ac:dyDescent="0.3">
      <c r="A74" s="180"/>
      <c r="B74" s="79"/>
      <c r="C74" s="79"/>
      <c r="D74" s="79"/>
      <c r="E74" s="79"/>
      <c r="F74" s="79"/>
      <c r="G74" s="79"/>
      <c r="H74" s="79"/>
      <c r="I74" s="79"/>
      <c r="J74" s="80"/>
      <c r="K74" s="80"/>
      <c r="L74" s="80"/>
      <c r="M74" s="80"/>
      <c r="N74" s="81"/>
      <c r="O74" s="82"/>
      <c r="P74" s="80"/>
      <c r="Q74" s="80"/>
      <c r="R74" s="80"/>
      <c r="S74" s="80"/>
      <c r="T74" s="80"/>
      <c r="U74" s="80"/>
      <c r="V74" s="179"/>
    </row>
    <row r="75" spans="1:22" ht="26.65" customHeight="1" x14ac:dyDescent="0.3">
      <c r="A75" s="180"/>
      <c r="B75" s="79"/>
      <c r="C75" s="79"/>
      <c r="D75" s="79"/>
      <c r="E75" s="79"/>
      <c r="F75" s="79"/>
      <c r="G75" s="79"/>
      <c r="H75" s="79"/>
      <c r="I75" s="79"/>
      <c r="J75" s="80"/>
      <c r="K75" s="80"/>
      <c r="L75" s="80"/>
      <c r="M75" s="80"/>
      <c r="N75" s="81"/>
      <c r="O75" s="82"/>
      <c r="P75" s="80"/>
      <c r="Q75" s="80"/>
      <c r="R75" s="80"/>
      <c r="S75" s="80"/>
      <c r="T75" s="80"/>
      <c r="U75" s="80"/>
      <c r="V75" s="179"/>
    </row>
    <row r="76" spans="1:22" ht="26.65" customHeight="1" x14ac:dyDescent="0.3">
      <c r="A76" s="180"/>
      <c r="B76" s="79"/>
      <c r="C76" s="79"/>
      <c r="D76" s="79"/>
      <c r="E76" s="79"/>
      <c r="F76" s="79"/>
      <c r="G76" s="79"/>
      <c r="H76" s="79"/>
      <c r="I76" s="79"/>
      <c r="J76" s="80"/>
      <c r="K76" s="80"/>
      <c r="L76" s="80"/>
      <c r="M76" s="80"/>
      <c r="N76" s="81"/>
      <c r="O76" s="82"/>
      <c r="P76" s="80"/>
      <c r="Q76" s="80"/>
      <c r="R76" s="80"/>
      <c r="S76" s="80"/>
      <c r="T76" s="80"/>
      <c r="U76" s="80"/>
      <c r="V76" s="179"/>
    </row>
    <row r="77" spans="1:22" ht="9.9499999999999993" customHeight="1" thickBot="1" x14ac:dyDescent="0.35">
      <c r="A77" s="176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8"/>
    </row>
    <row r="78" spans="1:22" x14ac:dyDescent="0.3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1"/>
      <c r="L78" s="106" t="s">
        <v>3</v>
      </c>
      <c r="M78" s="107"/>
      <c r="N78" s="107"/>
      <c r="O78" s="107"/>
      <c r="P78" s="107"/>
      <c r="Q78" s="107"/>
      <c r="R78" s="108"/>
      <c r="S78" s="115"/>
      <c r="T78" s="115"/>
      <c r="U78" s="115"/>
      <c r="V78" s="116"/>
    </row>
    <row r="79" spans="1:22" x14ac:dyDescent="0.3">
      <c r="A79" s="93"/>
      <c r="B79" s="89"/>
      <c r="C79" s="89"/>
      <c r="D79" s="89"/>
      <c r="E79" s="89"/>
      <c r="F79" s="89"/>
      <c r="G79" s="89"/>
      <c r="H79" s="89"/>
      <c r="I79" s="89"/>
      <c r="J79" s="89"/>
      <c r="K79" s="102"/>
      <c r="L79" s="109"/>
      <c r="M79" s="110"/>
      <c r="N79" s="110"/>
      <c r="O79" s="110"/>
      <c r="P79" s="110"/>
      <c r="Q79" s="110"/>
      <c r="R79" s="111"/>
      <c r="S79" s="117" t="s">
        <v>4</v>
      </c>
      <c r="T79" s="118"/>
      <c r="U79" s="118"/>
      <c r="V79" s="14">
        <v>3</v>
      </c>
    </row>
    <row r="80" spans="1:22" x14ac:dyDescent="0.3">
      <c r="A80" s="93"/>
      <c r="B80" s="89"/>
      <c r="C80" s="89"/>
      <c r="D80" s="89"/>
      <c r="E80" s="89"/>
      <c r="F80" s="89"/>
      <c r="G80" s="89"/>
      <c r="H80" s="89"/>
      <c r="I80" s="89"/>
      <c r="J80" s="89"/>
      <c r="K80" s="102"/>
      <c r="L80" s="109"/>
      <c r="M80" s="110"/>
      <c r="N80" s="110"/>
      <c r="O80" s="110"/>
      <c r="P80" s="110"/>
      <c r="Q80" s="110"/>
      <c r="R80" s="111"/>
      <c r="S80" s="118" t="str">
        <f>$S$3</f>
        <v>Status: 12/2023</v>
      </c>
      <c r="T80" s="118"/>
      <c r="U80" s="118"/>
      <c r="V80" s="119"/>
    </row>
    <row r="81" spans="1:22" ht="17.25" thickBot="1" x14ac:dyDescent="0.35">
      <c r="A81" s="103"/>
      <c r="B81" s="104"/>
      <c r="C81" s="104"/>
      <c r="D81" s="104"/>
      <c r="E81" s="104"/>
      <c r="F81" s="104"/>
      <c r="G81" s="104"/>
      <c r="H81" s="104"/>
      <c r="I81" s="104"/>
      <c r="J81" s="104"/>
      <c r="K81" s="105"/>
      <c r="L81" s="112"/>
      <c r="M81" s="113"/>
      <c r="N81" s="113"/>
      <c r="O81" s="113"/>
      <c r="P81" s="113"/>
      <c r="Q81" s="113"/>
      <c r="R81" s="114"/>
      <c r="S81" s="120"/>
      <c r="T81" s="104"/>
      <c r="U81" s="104"/>
      <c r="V81" s="105"/>
    </row>
    <row r="82" spans="1:22" ht="9.9499999999999993" customHeight="1" x14ac:dyDescent="0.3">
      <c r="A82" s="93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102"/>
    </row>
    <row r="83" spans="1:22" ht="21" x14ac:dyDescent="0.4">
      <c r="A83" s="93"/>
      <c r="B83" s="57" t="s">
        <v>114</v>
      </c>
      <c r="C83" s="126" t="str">
        <f>HLOOKUP($U$5,Texte!$A$1:$C$1424,59,FALSE)</f>
        <v xml:space="preserve">	Arbeitsablauf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02"/>
    </row>
    <row r="84" spans="1:22" ht="18" x14ac:dyDescent="0.35">
      <c r="A84" s="93"/>
      <c r="B84" s="185" t="str">
        <f>HLOOKUP($U$5,Texte!$A$1:$C$1424,60,FALSE)</f>
        <v>Vorgang</v>
      </c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2" t="str">
        <f>HLOOKUP($U$5,Texte!$A$1:$C$1424,61,FALSE)</f>
        <v>Bemerkung</v>
      </c>
      <c r="R84" s="183"/>
      <c r="S84" s="183"/>
      <c r="T84" s="183"/>
      <c r="U84" s="184"/>
      <c r="V84" s="102"/>
    </row>
    <row r="85" spans="1:22" s="18" customFormat="1" ht="24.95" customHeight="1" x14ac:dyDescent="0.25">
      <c r="A85" s="93"/>
      <c r="B85" s="40"/>
      <c r="C85" s="77" t="str">
        <f>HLOOKUP($U$5,Texte!$A$1:$C$1424,62,FALSE)</f>
        <v>Karton auffalten</v>
      </c>
      <c r="D85" s="77"/>
      <c r="E85" s="77"/>
      <c r="F85" s="77"/>
      <c r="G85" s="136"/>
      <c r="H85" s="40"/>
      <c r="I85" s="77" t="str">
        <f>HLOOKUP($U$5,Texte!$A$1:$C$1424,63,FALSE)</f>
        <v xml:space="preserve">manuell  </v>
      </c>
      <c r="J85" s="77"/>
      <c r="K85" s="136"/>
      <c r="L85" s="41"/>
      <c r="M85" s="77" t="str">
        <f>HLOOKUP($U$5,Texte!$A$1:$C$1424,64,FALSE)</f>
        <v>automatisch</v>
      </c>
      <c r="N85" s="77"/>
      <c r="O85" s="77"/>
      <c r="P85" s="136"/>
      <c r="Q85" s="181"/>
      <c r="R85" s="129"/>
      <c r="S85" s="129"/>
      <c r="T85" s="129"/>
      <c r="U85" s="130"/>
      <c r="V85" s="102"/>
    </row>
    <row r="86" spans="1:22" s="18" customFormat="1" ht="24.95" customHeight="1" x14ac:dyDescent="0.25">
      <c r="A86" s="93"/>
      <c r="B86" s="40"/>
      <c r="C86" s="77" t="str">
        <f>HLOOKUP($U$5,Texte!$A$1:$C$1424,65,FALSE)</f>
        <v>Kartonboden zufalten</v>
      </c>
      <c r="D86" s="77"/>
      <c r="E86" s="77"/>
      <c r="F86" s="77"/>
      <c r="G86" s="136"/>
      <c r="H86" s="40"/>
      <c r="I86" s="77" t="str">
        <f>HLOOKUP($U$5,Texte!$A$1:$C$1424,63,FALSE)</f>
        <v xml:space="preserve">manuell  </v>
      </c>
      <c r="J86" s="77"/>
      <c r="K86" s="136"/>
      <c r="L86" s="41"/>
      <c r="M86" s="77" t="str">
        <f>HLOOKUP($U$5,Texte!$A$1:$C$1424,64,FALSE)</f>
        <v>automatisch</v>
      </c>
      <c r="N86" s="77"/>
      <c r="O86" s="77"/>
      <c r="P86" s="136"/>
      <c r="Q86" s="181"/>
      <c r="R86" s="129"/>
      <c r="S86" s="129"/>
      <c r="T86" s="129"/>
      <c r="U86" s="130"/>
      <c r="V86" s="102"/>
    </row>
    <row r="87" spans="1:22" s="18" customFormat="1" ht="24.95" customHeight="1" x14ac:dyDescent="0.25">
      <c r="A87" s="93"/>
      <c r="B87" s="40"/>
      <c r="C87" s="77" t="str">
        <f>HLOOKUP($U$5,Texte!$A$1:$C$1424,66,FALSE)</f>
        <v>Karton befüllen</v>
      </c>
      <c r="D87" s="77"/>
      <c r="E87" s="77"/>
      <c r="F87" s="77"/>
      <c r="G87" s="136"/>
      <c r="H87" s="40"/>
      <c r="I87" s="77" t="str">
        <f>HLOOKUP($U$5,Texte!$A$1:$C$1424,63,FALSE)</f>
        <v xml:space="preserve">manuell  </v>
      </c>
      <c r="J87" s="77"/>
      <c r="K87" s="136"/>
      <c r="L87" s="41"/>
      <c r="M87" s="77" t="str">
        <f>HLOOKUP($U$5,Texte!$A$1:$C$1424,64,FALSE)</f>
        <v>automatisch</v>
      </c>
      <c r="N87" s="77"/>
      <c r="O87" s="77"/>
      <c r="P87" s="136"/>
      <c r="Q87" s="181"/>
      <c r="R87" s="129"/>
      <c r="S87" s="129"/>
      <c r="T87" s="129"/>
      <c r="U87" s="130"/>
      <c r="V87" s="102"/>
    </row>
    <row r="88" spans="1:22" s="18" customFormat="1" ht="24.95" customHeight="1" x14ac:dyDescent="0.25">
      <c r="A88" s="93"/>
      <c r="B88" s="40"/>
      <c r="C88" s="77" t="str">
        <f>HLOOKUP($U$5,Texte!$A$1:$C$1424,106,FALSE)</f>
        <v>Kartondeckel zufalten</v>
      </c>
      <c r="D88" s="77"/>
      <c r="E88" s="77"/>
      <c r="F88" s="77"/>
      <c r="G88" s="136"/>
      <c r="H88" s="40"/>
      <c r="I88" s="77" t="str">
        <f>HLOOKUP($U$5,Texte!$A$1:$C$1424,63,FALSE)</f>
        <v xml:space="preserve">manuell  </v>
      </c>
      <c r="J88" s="77"/>
      <c r="K88" s="136"/>
      <c r="L88" s="41"/>
      <c r="M88" s="77" t="str">
        <f>HLOOKUP($U$5,Texte!$A$1:$C$1424,64,FALSE)</f>
        <v>automatisch</v>
      </c>
      <c r="N88" s="77"/>
      <c r="O88" s="77"/>
      <c r="P88" s="136"/>
      <c r="Q88" s="181"/>
      <c r="R88" s="129"/>
      <c r="S88" s="129"/>
      <c r="T88" s="129"/>
      <c r="U88" s="130"/>
      <c r="V88" s="102"/>
    </row>
    <row r="89" spans="1:22" ht="146.65" customHeight="1" x14ac:dyDescent="0.3">
      <c r="A89" s="93"/>
      <c r="B89" s="44"/>
      <c r="C89" s="187" t="str">
        <f>HLOOKUP($U$5,Texte!$A$1:$C$1424,67,FALSE)</f>
        <v>gleichzeitiger Boden- und Deckelverschluss der gefüllten Faltschachtel</v>
      </c>
      <c r="D89" s="187"/>
      <c r="E89" s="187"/>
      <c r="F89" s="187"/>
      <c r="G89" s="188"/>
      <c r="H89" s="44"/>
      <c r="I89" s="187" t="str">
        <f>HLOOKUP($U$5,Texte!$A$1:$C$1424,68,FALSE)</f>
        <v>erst Boden der leeren Faltschachtel verschließen, dann Faltschachtel befüllen 
dann Deckel der gefüllten Faltschachtel verschließen</v>
      </c>
      <c r="J89" s="187"/>
      <c r="K89" s="187"/>
      <c r="L89" s="187"/>
      <c r="M89" s="187"/>
      <c r="N89" s="187"/>
      <c r="O89" s="187"/>
      <c r="P89" s="188"/>
      <c r="Q89" s="44"/>
      <c r="R89" s="189" t="str">
        <f>HLOOKUP($U$5,Texte!$A$1:$C$1424,69,FALSE)</f>
        <v>Anderen Ablauf definieren unter P)</v>
      </c>
      <c r="S89" s="189"/>
      <c r="T89" s="189"/>
      <c r="U89" s="190"/>
      <c r="V89" s="102"/>
    </row>
    <row r="90" spans="1:22" ht="9.9499999999999993" customHeight="1" x14ac:dyDescent="0.3">
      <c r="A90" s="93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102"/>
    </row>
    <row r="91" spans="1:22" ht="21" x14ac:dyDescent="0.4">
      <c r="A91" s="93"/>
      <c r="B91" s="57" t="s">
        <v>125</v>
      </c>
      <c r="C91" s="126" t="str">
        <f>HLOOKUP($U$5,Texte!$A$1:$C$1424,70,FALSE)</f>
        <v>Klammermaterial/-größe</v>
      </c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02"/>
    </row>
    <row r="92" spans="1:22" s="18" customFormat="1" ht="24.95" customHeight="1" x14ac:dyDescent="0.25">
      <c r="A92" s="93"/>
      <c r="B92" s="159" t="str">
        <f>HLOOKUP($U$5,Texte!$A$1:$C$1424,71,FALSE)</f>
        <v>Material:</v>
      </c>
      <c r="C92" s="77"/>
      <c r="D92" s="41"/>
      <c r="E92" s="186" t="str">
        <f>HLOOKUP($U$5,Texte!$A$1:$C$1424,72,FALSE)</f>
        <v>Stahl, verkupfert</v>
      </c>
      <c r="F92" s="186"/>
      <c r="G92" s="186"/>
      <c r="H92" s="71"/>
      <c r="I92" s="186" t="str">
        <f>HLOOKUP($U$5,Texte!$A$1:$C$1424,73,FALSE)</f>
        <v>Stahl, verzinkt</v>
      </c>
      <c r="J92" s="186"/>
      <c r="K92" s="186"/>
      <c r="L92" s="71"/>
      <c r="M92" s="186" t="str">
        <f>HLOOKUP($U$5,Texte!$A$1:$C$1424,74,FALSE)</f>
        <v>Edelstahl</v>
      </c>
      <c r="N92" s="186"/>
      <c r="O92" s="186"/>
      <c r="P92" s="71"/>
      <c r="Q92" s="186" t="str">
        <f>HLOOKUP($U$5,Texte!$A$1:$C$1424,75,FALSE)</f>
        <v>sonst:</v>
      </c>
      <c r="R92" s="186"/>
      <c r="S92" s="129"/>
      <c r="T92" s="129"/>
      <c r="U92" s="130"/>
      <c r="V92" s="102"/>
    </row>
    <row r="93" spans="1:22" s="17" customFormat="1" ht="20.100000000000001" customHeight="1" x14ac:dyDescent="0.25">
      <c r="A93" s="93"/>
      <c r="B93" s="34" t="str">
        <f>HLOOKUP($U$5,Texte!$A$1:$C$1424,76,FALSE)</f>
        <v xml:space="preserve">Rückenbreite: </v>
      </c>
      <c r="C93" s="35"/>
      <c r="D93" s="36"/>
      <c r="E93" s="34"/>
      <c r="F93" s="91" t="s">
        <v>126</v>
      </c>
      <c r="G93" s="92"/>
      <c r="H93" s="34"/>
      <c r="I93" s="91" t="s">
        <v>127</v>
      </c>
      <c r="J93" s="92"/>
      <c r="K93" s="34"/>
      <c r="L93" s="91" t="s">
        <v>128</v>
      </c>
      <c r="M93" s="92"/>
      <c r="N93" s="34"/>
      <c r="O93" s="91" t="s">
        <v>129</v>
      </c>
      <c r="P93" s="92"/>
      <c r="Q93" s="34"/>
      <c r="R93" s="91" t="str">
        <f>HLOOKUP($U$5,Texte!$A$1:$C$1424,79,FALSE)</f>
        <v xml:space="preserve">sonst:  </v>
      </c>
      <c r="S93" s="91"/>
      <c r="T93" s="91"/>
      <c r="U93" s="92"/>
      <c r="V93" s="102"/>
    </row>
    <row r="94" spans="1:22" s="45" customFormat="1" ht="55.7" customHeight="1" x14ac:dyDescent="0.25">
      <c r="A94" s="93"/>
      <c r="B94" s="191"/>
      <c r="C94" s="192"/>
      <c r="D94" s="193"/>
      <c r="E94" s="191" t="str">
        <f>HLOOKUP($U$5,Texte!$A$1:$C$1424,77,FALSE)</f>
        <v>Zum Heften und Nageln</v>
      </c>
      <c r="F94" s="192"/>
      <c r="G94" s="193"/>
      <c r="H94" s="191" t="str">
        <f>HLOOKUP($U$5,Texte!$A$1:$C$1424,77,FALSE)</f>
        <v>Zum Heften und Nageln</v>
      </c>
      <c r="I94" s="192"/>
      <c r="J94" s="193"/>
      <c r="K94" s="191" t="str">
        <f>HLOOKUP($U$5,Texte!$A$1:$C$1424,77,FALSE)</f>
        <v>Zum Heften und Nageln</v>
      </c>
      <c r="L94" s="192"/>
      <c r="M94" s="193"/>
      <c r="N94" s="191" t="str">
        <f>HLOOKUP($U$5,Texte!$A$1:$C$1424,78,FALSE)</f>
        <v>Zum Heften</v>
      </c>
      <c r="O94" s="192"/>
      <c r="P94" s="193"/>
      <c r="Q94" s="238"/>
      <c r="R94" s="239"/>
      <c r="S94" s="239"/>
      <c r="T94" s="239"/>
      <c r="U94" s="240"/>
      <c r="V94" s="102"/>
    </row>
    <row r="95" spans="1:22" ht="9.9499999999999993" customHeight="1" x14ac:dyDescent="0.3">
      <c r="A95" s="93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102"/>
    </row>
    <row r="96" spans="1:22" ht="21" x14ac:dyDescent="0.4">
      <c r="A96" s="93"/>
      <c r="B96" s="57" t="s">
        <v>131</v>
      </c>
      <c r="C96" s="126" t="str">
        <f>HLOOKUP($U$5,Texte!$A$1:$C$1424,80,FALSE)</f>
        <v>Anzahl Klammern</v>
      </c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02"/>
    </row>
    <row r="97" spans="1:22" s="18" customFormat="1" ht="24.95" customHeight="1" x14ac:dyDescent="0.25">
      <c r="A97" s="93"/>
      <c r="B97" s="235"/>
      <c r="C97" s="77" t="str">
        <f>HLOOKUP($U$5,Texte!$A$1:$C$1424,81,FALSE)</f>
        <v>Stck. pro</v>
      </c>
      <c r="D97" s="77"/>
      <c r="E97" s="41"/>
      <c r="F97" s="77" t="str">
        <f>HLOOKUP($U$5,Texte!$A$1:$C$1424,82,FALSE)</f>
        <v xml:space="preserve">Boden  </v>
      </c>
      <c r="G97" s="77"/>
      <c r="H97" s="41"/>
      <c r="I97" s="78" t="str">
        <f>HLOOKUP($U$5,Texte!$A$1:$C$1424,83,FALSE)</f>
        <v>Deckel</v>
      </c>
      <c r="J97" s="78"/>
      <c r="K97" s="41"/>
      <c r="L97" s="41" t="str">
        <f>HLOOKUP($U$5,Texte!$A$1:$C$1424,84,FALSE)</f>
        <v>Lasche</v>
      </c>
      <c r="M97" s="41"/>
      <c r="N97" s="78" t="str">
        <f>HLOOKUP($U$5,Texte!$A$1:$C$1424,85,FALSE)</f>
        <v>Seite</v>
      </c>
      <c r="O97" s="78"/>
      <c r="P97" s="25"/>
      <c r="Q97" s="78" t="str">
        <f>HLOOKUP($U$5,Texte!$A$1:$C$1424,79,FALSE)</f>
        <v xml:space="preserve">sonst:  </v>
      </c>
      <c r="R97" s="78"/>
      <c r="S97" s="129"/>
      <c r="T97" s="129"/>
      <c r="U97" s="130"/>
      <c r="V97" s="102"/>
    </row>
    <row r="98" spans="1:22" ht="9.9499999999999993" customHeight="1" x14ac:dyDescent="0.3">
      <c r="A98" s="93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102"/>
    </row>
    <row r="99" spans="1:22" ht="21" x14ac:dyDescent="0.4">
      <c r="A99" s="93"/>
      <c r="B99" s="57" t="s">
        <v>138</v>
      </c>
      <c r="C99" s="126" t="str">
        <f>HLOOKUP($U$5,Texte!$A$1:$C$1424,86,FALSE)</f>
        <v>Arbeitsleistung/Taktzahl</v>
      </c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02"/>
    </row>
    <row r="100" spans="1:22" s="18" customFormat="1" ht="24.95" customHeight="1" x14ac:dyDescent="0.25">
      <c r="A100" s="93"/>
      <c r="B100" s="159" t="str">
        <f>HLOOKUP($U$5,Texte!$A$1:$C$1424,87,FALSE)</f>
        <v xml:space="preserve">Anzahl: </v>
      </c>
      <c r="C100" s="77"/>
      <c r="D100" s="54"/>
      <c r="E100" s="41" t="str">
        <f>HLOOKUP($U$5,Texte!$A$1:$C$1424,81,FALSE)</f>
        <v>Stck. pro</v>
      </c>
      <c r="F100" s="46"/>
      <c r="G100" s="40"/>
      <c r="H100" s="78" t="str">
        <f>HLOOKUP($U$5,Texte!$A$1:$C$1424,89,FALSE)</f>
        <v>Minute</v>
      </c>
      <c r="I100" s="194"/>
      <c r="J100" s="40"/>
      <c r="K100" s="78" t="str">
        <f>HLOOKUP($U$5,Texte!$A$1:$C$1424,90,FALSE)</f>
        <v>Stunde</v>
      </c>
      <c r="L100" s="194"/>
      <c r="M100" s="40"/>
      <c r="N100" s="78" t="str">
        <f>HLOOKUP($U$5,Texte!$A$1:$C$1424,79,FALSE)</f>
        <v xml:space="preserve">sonst:  </v>
      </c>
      <c r="O100" s="78"/>
      <c r="P100" s="129"/>
      <c r="Q100" s="129"/>
      <c r="R100" s="129"/>
      <c r="S100" s="129"/>
      <c r="T100" s="129"/>
      <c r="U100" s="130"/>
      <c r="V100" s="102"/>
    </row>
    <row r="101" spans="1:22" ht="9.9499999999999993" customHeight="1" x14ac:dyDescent="0.3">
      <c r="A101" s="93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102"/>
    </row>
    <row r="102" spans="1:22" ht="21" x14ac:dyDescent="0.4">
      <c r="A102" s="93"/>
      <c r="B102" s="57" t="s">
        <v>144</v>
      </c>
      <c r="C102" s="126" t="str">
        <f>HLOOKUP($U$5,Texte!$A$1:$C$1424,107,FALSE)</f>
        <v xml:space="preserve">Aufbau </v>
      </c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02"/>
    </row>
    <row r="103" spans="1:22" s="18" customFormat="1" ht="24.95" customHeight="1" x14ac:dyDescent="0.25">
      <c r="A103" s="93"/>
      <c r="B103" s="27"/>
      <c r="C103" s="77" t="str">
        <f>HLOOKUP($U$5,Texte!$A$1:$C$1424,108,FALSE)</f>
        <v>fahrbar</v>
      </c>
      <c r="D103" s="77"/>
      <c r="E103" s="136"/>
      <c r="F103" s="27"/>
      <c r="G103" s="142" t="str">
        <f>HLOOKUP($U$5,Texte!$A$1:$C$1424,109,FALSE)</f>
        <v>feststehend</v>
      </c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3"/>
      <c r="V103" s="102"/>
    </row>
    <row r="104" spans="1:22" s="18" customFormat="1" ht="24.95" customHeight="1" x14ac:dyDescent="0.3">
      <c r="A104" s="37"/>
      <c r="B104" s="34"/>
      <c r="C104" s="198" t="str">
        <f>HLOOKUP($U$5,Texte!$A$1:$C$1424,110,FALSE)</f>
        <v>freistehend</v>
      </c>
      <c r="D104" s="198"/>
      <c r="E104" s="199"/>
      <c r="F104" s="34"/>
      <c r="G104" s="86" t="str">
        <f>HLOOKUP($U$5,Texte!$A$1:$C$1424,111,FALSE)</f>
        <v xml:space="preserve">in bestehende Linie integrieren 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7"/>
      <c r="V104" s="14"/>
    </row>
    <row r="105" spans="1:22" s="18" customFormat="1" ht="12" customHeight="1" x14ac:dyDescent="0.3">
      <c r="A105" s="37"/>
      <c r="B105" s="30"/>
      <c r="C105" s="200"/>
      <c r="D105" s="200"/>
      <c r="E105" s="201"/>
      <c r="F105" s="47"/>
      <c r="G105" s="206" t="str">
        <f>HLOOKUP($U$5,Texte!$A$1:$C$1424,112,FALSE)</f>
        <v>(bitte genaue Angaben)</v>
      </c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7"/>
      <c r="V105" s="14"/>
    </row>
    <row r="106" spans="1:22" ht="9.9499999999999993" customHeight="1" x14ac:dyDescent="0.3">
      <c r="A106" s="93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102"/>
    </row>
    <row r="107" spans="1:22" ht="21" x14ac:dyDescent="0.4">
      <c r="A107" s="93"/>
      <c r="B107" s="57" t="s">
        <v>152</v>
      </c>
      <c r="C107" s="126" t="str">
        <f>HLOOKUP($U$5,Texte!$A$1:$C$1424,92,FALSE)</f>
        <v>Automatisierungsgrad</v>
      </c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59"/>
    </row>
    <row r="108" spans="1:22" s="18" customFormat="1" ht="24.95" customHeight="1" x14ac:dyDescent="0.25">
      <c r="A108" s="93"/>
      <c r="B108" s="34"/>
      <c r="C108" s="86" t="str">
        <f>HLOOKUP($U$5,Texte!$A$1:$C$1424,93,FALSE)</f>
        <v>mechanische Ausführung</v>
      </c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7"/>
      <c r="V108" s="63"/>
    </row>
    <row r="109" spans="1:22" ht="12" customHeight="1" x14ac:dyDescent="0.3">
      <c r="A109" s="93"/>
      <c r="B109" s="23"/>
      <c r="C109" s="202" t="str">
        <f>HLOOKUP($U$5,Texte!$A$1:$C$1424,94,FALSE)</f>
        <v>(manuell)</v>
      </c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3"/>
      <c r="V109" s="63"/>
    </row>
    <row r="110" spans="1:22" s="18" customFormat="1" ht="24.95" customHeight="1" x14ac:dyDescent="0.25">
      <c r="A110" s="93"/>
      <c r="B110" s="34"/>
      <c r="C110" s="86" t="str">
        <f>HLOOKUP($U$5,Texte!$A$1:$C$1424,95,FALSE)</f>
        <v>Halbautomat (Einlegen/Entnehmen manuell)</v>
      </c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7"/>
      <c r="V110" s="63"/>
    </row>
    <row r="111" spans="1:22" ht="12" customHeight="1" x14ac:dyDescent="0.3">
      <c r="A111" s="93"/>
      <c r="B111" s="23"/>
      <c r="C111" s="202" t="str">
        <f>HLOOKUP($U$5,Texte!$A$1:$C$1424,96,FALSE)</f>
        <v>(pneumatische oder elektro-pneumatische Ausführung)</v>
      </c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3"/>
      <c r="V111" s="63"/>
    </row>
    <row r="112" spans="1:22" s="18" customFormat="1" ht="24.95" customHeight="1" x14ac:dyDescent="0.25">
      <c r="A112" s="93"/>
      <c r="B112" s="34"/>
      <c r="C112" s="86" t="str">
        <f>HLOOKUP($U$5,Texte!$A$1:$C$1424,97,FALSE)</f>
        <v>Vollautomatikbetrieb</v>
      </c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7"/>
      <c r="V112" s="63"/>
    </row>
    <row r="113" spans="1:22" ht="12" customHeight="1" x14ac:dyDescent="0.3">
      <c r="A113" s="93"/>
      <c r="B113" s="23"/>
      <c r="C113" s="202" t="str">
        <f>HLOOKUP($U$5,Texte!$A$1:$C$1424,98,FALSE)</f>
        <v>(Elektro-pneumatische Ausführung)</v>
      </c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3"/>
      <c r="V113" s="63"/>
    </row>
    <row r="114" spans="1:22" ht="9.9499999999999993" customHeight="1" x14ac:dyDescent="0.3">
      <c r="A114" s="93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102"/>
    </row>
    <row r="115" spans="1:22" ht="21" x14ac:dyDescent="0.4">
      <c r="A115" s="60"/>
      <c r="B115" s="57" t="s">
        <v>158</v>
      </c>
      <c r="C115" s="98" t="str">
        <f>HLOOKUP($U$5,Texte!$A$1:$C$1424,113,FALSE)</f>
        <v>Einstellung auf andere Größen</v>
      </c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59"/>
    </row>
    <row r="116" spans="1:22" s="18" customFormat="1" ht="24.95" customHeight="1" x14ac:dyDescent="0.3">
      <c r="A116" s="60"/>
      <c r="B116" s="204" t="str">
        <f>HLOOKUP($U$5,Texte!$A$1:$C$1424,114,FALSE)</f>
        <v>Heftgutgrößen kommen:</v>
      </c>
      <c r="C116" s="86"/>
      <c r="D116" s="86"/>
      <c r="E116" s="86"/>
      <c r="F116" s="86"/>
      <c r="G116" s="33"/>
      <c r="H116" s="86" t="str">
        <f>HLOOKUP($U$5,Texte!$A$1:$C$1424,115,FALSE)</f>
        <v>chaotisch</v>
      </c>
      <c r="I116" s="86"/>
      <c r="J116" s="86"/>
      <c r="K116" s="86"/>
      <c r="L116" s="33"/>
      <c r="M116" s="73" t="str">
        <f>HLOOKUP($U$5,Texte!$A$1:$C$1424,116,FALSE)</f>
        <v>in Serie</v>
      </c>
      <c r="N116" s="73"/>
      <c r="O116" s="51"/>
      <c r="P116" s="86" t="str">
        <f>HLOOKUP($U$5,Texte!$A$1:$C$1424,117,FALSE)</f>
        <v>Stck.</v>
      </c>
      <c r="Q116" s="86"/>
      <c r="R116" s="86"/>
      <c r="S116" s="86"/>
      <c r="T116" s="86"/>
      <c r="U116" s="87"/>
      <c r="V116" s="59"/>
    </row>
    <row r="117" spans="1:22" s="18" customFormat="1" ht="12" customHeight="1" x14ac:dyDescent="0.3">
      <c r="A117" s="64"/>
      <c r="B117" s="167"/>
      <c r="C117" s="205"/>
      <c r="D117" s="205"/>
      <c r="E117" s="205"/>
      <c r="F117" s="205"/>
      <c r="G117" s="72"/>
      <c r="H117" s="48" t="str">
        <f>HLOOKUP($U$5,Texte!$A$1:$C$1424,118,FALSE)</f>
        <v>(unterschiedliche Größen)</v>
      </c>
      <c r="I117" s="48"/>
      <c r="J117" s="48"/>
      <c r="K117" s="49"/>
      <c r="L117" s="42"/>
      <c r="M117" s="202" t="str">
        <f>HLOOKUP($U$5,Texte!$A$1:$C$1424,119,FALSE)</f>
        <v>(gleiche Größe hintereinander)</v>
      </c>
      <c r="N117" s="202"/>
      <c r="O117" s="202"/>
      <c r="P117" s="202"/>
      <c r="Q117" s="202"/>
      <c r="R117" s="202"/>
      <c r="S117" s="202"/>
      <c r="T117" s="202"/>
      <c r="U117" s="203"/>
      <c r="V117" s="65"/>
    </row>
    <row r="118" spans="1:22" s="18" customFormat="1" ht="24.95" customHeight="1" x14ac:dyDescent="0.3">
      <c r="A118" s="64"/>
      <c r="B118" s="159" t="str">
        <f>HLOOKUP($U$5,Texte!$A$1:$C$1424,120,FALSE)</f>
        <v>Heftmaschine soll auf die unterschiedlichen Größen eingestellt werden: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136"/>
      <c r="V118" s="65"/>
    </row>
    <row r="119" spans="1:22" s="18" customFormat="1" ht="24.95" customHeight="1" x14ac:dyDescent="0.3">
      <c r="A119" s="60"/>
      <c r="B119" s="27"/>
      <c r="C119" s="77" t="str">
        <f>HLOOKUP($U$5,Texte!$A$1:$C$1424,121,FALSE)</f>
        <v xml:space="preserve">manuell               </v>
      </c>
      <c r="D119" s="77"/>
      <c r="E119" s="54"/>
      <c r="F119" s="78" t="str">
        <f>HLOOKUP($U$5,Texte!$A$1:$C$1424,122,FALSE)</f>
        <v xml:space="preserve">x pro </v>
      </c>
      <c r="G119" s="194"/>
      <c r="H119" s="39"/>
      <c r="I119" s="77" t="str">
        <f>HLOOKUP($U$5,Texte!$A$1:$C$1424,123,FALSE)</f>
        <v>Schicht</v>
      </c>
      <c r="J119" s="136"/>
      <c r="K119" s="39"/>
      <c r="L119" s="77" t="str">
        <f>HLOOKUP($U$5,Texte!$A$1:$C$1424,124,FALSE)</f>
        <v>Tag</v>
      </c>
      <c r="M119" s="136"/>
      <c r="N119" s="39"/>
      <c r="O119" s="77" t="str">
        <f>HLOOKUP($U$5,Texte!$A$1:$C$1424,125,FALSE)</f>
        <v>sonst.:</v>
      </c>
      <c r="P119" s="77"/>
      <c r="Q119" s="129"/>
      <c r="R119" s="129"/>
      <c r="S119" s="129"/>
      <c r="T119" s="129"/>
      <c r="U119" s="130"/>
      <c r="V119" s="59"/>
    </row>
    <row r="120" spans="1:22" s="18" customFormat="1" ht="24.95" customHeight="1" x14ac:dyDescent="0.3">
      <c r="A120" s="15"/>
      <c r="B120" s="40"/>
      <c r="C120" s="77" t="str">
        <f>HLOOKUP($U$5,Texte!$A$1:$C$1424,126,FALSE)</f>
        <v>automatisch</v>
      </c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136"/>
      <c r="V120" s="38"/>
    </row>
    <row r="121" spans="1:22" ht="17.25" thickBot="1" x14ac:dyDescent="0.35">
      <c r="A121" s="103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5"/>
    </row>
    <row r="122" spans="1:22" x14ac:dyDescent="0.3">
      <c r="A122" s="99"/>
      <c r="B122" s="100"/>
      <c r="C122" s="100"/>
      <c r="D122" s="100"/>
      <c r="E122" s="100"/>
      <c r="F122" s="100"/>
      <c r="G122" s="100"/>
      <c r="H122" s="100"/>
      <c r="I122" s="100"/>
      <c r="J122" s="100"/>
      <c r="K122" s="101"/>
      <c r="L122" s="106" t="s">
        <v>3</v>
      </c>
      <c r="M122" s="107"/>
      <c r="N122" s="107"/>
      <c r="O122" s="107"/>
      <c r="P122" s="107"/>
      <c r="Q122" s="107"/>
      <c r="R122" s="108"/>
      <c r="S122" s="115"/>
      <c r="T122" s="115"/>
      <c r="U122" s="115"/>
      <c r="V122" s="116"/>
    </row>
    <row r="123" spans="1:22" x14ac:dyDescent="0.3">
      <c r="A123" s="93"/>
      <c r="B123" s="89"/>
      <c r="C123" s="89"/>
      <c r="D123" s="89"/>
      <c r="E123" s="89"/>
      <c r="F123" s="89"/>
      <c r="G123" s="89"/>
      <c r="H123" s="89"/>
      <c r="I123" s="89"/>
      <c r="J123" s="89"/>
      <c r="K123" s="102"/>
      <c r="L123" s="109"/>
      <c r="M123" s="110"/>
      <c r="N123" s="110"/>
      <c r="O123" s="110"/>
      <c r="P123" s="110"/>
      <c r="Q123" s="110"/>
      <c r="R123" s="111"/>
      <c r="S123" s="117" t="s">
        <v>4</v>
      </c>
      <c r="T123" s="118"/>
      <c r="U123" s="118"/>
      <c r="V123" s="14">
        <v>4</v>
      </c>
    </row>
    <row r="124" spans="1:22" x14ac:dyDescent="0.3">
      <c r="A124" s="93"/>
      <c r="B124" s="89"/>
      <c r="C124" s="89"/>
      <c r="D124" s="89"/>
      <c r="E124" s="89"/>
      <c r="F124" s="89"/>
      <c r="G124" s="89"/>
      <c r="H124" s="89"/>
      <c r="I124" s="89"/>
      <c r="J124" s="89"/>
      <c r="K124" s="102"/>
      <c r="L124" s="109"/>
      <c r="M124" s="110"/>
      <c r="N124" s="110"/>
      <c r="O124" s="110"/>
      <c r="P124" s="110"/>
      <c r="Q124" s="110"/>
      <c r="R124" s="111"/>
      <c r="S124" s="118" t="str">
        <f>$S$3</f>
        <v>Status: 12/2023</v>
      </c>
      <c r="T124" s="118"/>
      <c r="U124" s="118"/>
      <c r="V124" s="119"/>
    </row>
    <row r="125" spans="1:22" ht="17.25" thickBot="1" x14ac:dyDescent="0.35">
      <c r="A125" s="103"/>
      <c r="B125" s="104"/>
      <c r="C125" s="104"/>
      <c r="D125" s="104"/>
      <c r="E125" s="104"/>
      <c r="F125" s="104"/>
      <c r="G125" s="104"/>
      <c r="H125" s="104"/>
      <c r="I125" s="104"/>
      <c r="J125" s="104"/>
      <c r="K125" s="105"/>
      <c r="L125" s="112"/>
      <c r="M125" s="113"/>
      <c r="N125" s="113"/>
      <c r="O125" s="113"/>
      <c r="P125" s="113"/>
      <c r="Q125" s="113"/>
      <c r="R125" s="114"/>
      <c r="S125" s="120"/>
      <c r="T125" s="104"/>
      <c r="U125" s="104"/>
      <c r="V125" s="105"/>
    </row>
    <row r="126" spans="1:22" ht="9.9499999999999993" customHeight="1" x14ac:dyDescent="0.3">
      <c r="A126" s="93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102"/>
    </row>
    <row r="127" spans="1:22" ht="21" x14ac:dyDescent="0.4">
      <c r="A127" s="93"/>
      <c r="B127" s="57" t="s">
        <v>159</v>
      </c>
      <c r="C127" s="126" t="str">
        <f>HLOOKUP($U$5,Texte!$A$1:$C$1424,99,FALSE)</f>
        <v>Wunschliefertermin</v>
      </c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02"/>
    </row>
    <row r="128" spans="1:22" s="18" customFormat="1" ht="24.95" customHeight="1" x14ac:dyDescent="0.25">
      <c r="A128" s="93"/>
      <c r="B128" s="133" t="str">
        <f>HLOOKUP($U$5,Texte!$A$1:$C$1424,100,FALSE)</f>
        <v>Kalenderwoche/Jahr:</v>
      </c>
      <c r="C128" s="78"/>
      <c r="D128" s="78"/>
      <c r="E128" s="78"/>
      <c r="F128" s="78"/>
      <c r="G128" s="74"/>
      <c r="H128" s="74"/>
      <c r="I128" s="74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6"/>
      <c r="V128" s="102"/>
    </row>
    <row r="129" spans="1:22" ht="9.9499999999999993" customHeight="1" x14ac:dyDescent="0.3">
      <c r="A129" s="93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102"/>
    </row>
    <row r="130" spans="1:22" ht="21" x14ac:dyDescent="0.4">
      <c r="A130" s="93"/>
      <c r="B130" s="57" t="s">
        <v>393</v>
      </c>
      <c r="C130" s="126" t="str">
        <f>HLOOKUP($U$5,Texte!$A$1:$C$1424,101,FALSE)</f>
        <v>Besondere interne Firmenvorschriften (Spezifikationen)</v>
      </c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02"/>
    </row>
    <row r="131" spans="1:22" s="18" customFormat="1" ht="24.95" customHeight="1" x14ac:dyDescent="0.25">
      <c r="A131" s="93"/>
      <c r="B131" s="27"/>
      <c r="C131" s="77" t="str">
        <f>HLOOKUP($U$5,Texte!$A$1:$C$1424,102,FALSE)</f>
        <v>keine</v>
      </c>
      <c r="D131" s="77"/>
      <c r="E131" s="136"/>
      <c r="F131" s="27"/>
      <c r="G131" s="77" t="str">
        <f>HLOOKUP($U$5,Texte!$A$1:$C$1424,103,FALSE)</f>
        <v>ja, bitte mitsenden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136"/>
      <c r="V131" s="102"/>
    </row>
    <row r="132" spans="1:22" ht="9.9499999999999993" customHeight="1" x14ac:dyDescent="0.3">
      <c r="A132" s="93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102"/>
    </row>
    <row r="133" spans="1:22" ht="21" x14ac:dyDescent="0.4">
      <c r="A133" s="60"/>
      <c r="B133" s="57" t="s">
        <v>394</v>
      </c>
      <c r="C133" s="126" t="str">
        <f>HLOOKUP($U$5,Texte!$A$1:$C$1424,104,FALSE)</f>
        <v>Anmerkungen/Skizzen/Sonstige Angaben</v>
      </c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59"/>
    </row>
    <row r="134" spans="1:22" x14ac:dyDescent="0.3">
      <c r="A134" s="66" t="s">
        <v>429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67"/>
    </row>
    <row r="135" spans="1:22" x14ac:dyDescent="0.3">
      <c r="A135" s="66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67"/>
    </row>
    <row r="136" spans="1:22" x14ac:dyDescent="0.3">
      <c r="A136" s="66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67"/>
    </row>
    <row r="137" spans="1:22" x14ac:dyDescent="0.3">
      <c r="A137" s="66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67"/>
    </row>
    <row r="138" spans="1:22" x14ac:dyDescent="0.3">
      <c r="A138" s="66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67"/>
    </row>
    <row r="139" spans="1:22" x14ac:dyDescent="0.3">
      <c r="A139" s="66"/>
      <c r="B139" s="52"/>
      <c r="C139" s="52"/>
      <c r="D139" s="52"/>
      <c r="E139" s="52"/>
      <c r="F139" s="52"/>
      <c r="G139" s="52"/>
      <c r="H139" s="52" t="s">
        <v>430</v>
      </c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67"/>
    </row>
    <row r="140" spans="1:22" x14ac:dyDescent="0.3">
      <c r="A140" s="66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67"/>
    </row>
    <row r="141" spans="1:22" x14ac:dyDescent="0.3">
      <c r="A141" s="66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67"/>
    </row>
    <row r="142" spans="1:22" x14ac:dyDescent="0.3">
      <c r="A142" s="66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67"/>
    </row>
    <row r="143" spans="1:22" x14ac:dyDescent="0.3">
      <c r="A143" s="66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67"/>
    </row>
    <row r="144" spans="1:22" x14ac:dyDescent="0.3">
      <c r="A144" s="66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67"/>
    </row>
    <row r="145" spans="1:22" x14ac:dyDescent="0.3">
      <c r="A145" s="66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67"/>
    </row>
    <row r="146" spans="1:22" x14ac:dyDescent="0.3">
      <c r="A146" s="66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67"/>
    </row>
    <row r="147" spans="1:22" x14ac:dyDescent="0.3">
      <c r="A147" s="66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67"/>
    </row>
    <row r="148" spans="1:22" x14ac:dyDescent="0.3">
      <c r="A148" s="66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67"/>
    </row>
    <row r="149" spans="1:22" x14ac:dyDescent="0.3">
      <c r="A149" s="66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67"/>
    </row>
    <row r="150" spans="1:22" x14ac:dyDescent="0.3">
      <c r="A150" s="66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67"/>
    </row>
    <row r="151" spans="1:22" x14ac:dyDescent="0.3">
      <c r="A151" s="66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67"/>
    </row>
    <row r="152" spans="1:22" x14ac:dyDescent="0.3">
      <c r="A152" s="66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67"/>
    </row>
    <row r="153" spans="1:22" x14ac:dyDescent="0.3">
      <c r="A153" s="66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67"/>
    </row>
    <row r="154" spans="1:22" x14ac:dyDescent="0.3">
      <c r="A154" s="66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67"/>
    </row>
    <row r="155" spans="1:22" x14ac:dyDescent="0.3">
      <c r="A155" s="66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67"/>
    </row>
    <row r="156" spans="1:22" x14ac:dyDescent="0.3">
      <c r="A156" s="66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67"/>
    </row>
    <row r="157" spans="1:22" x14ac:dyDescent="0.3">
      <c r="A157" s="66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67"/>
    </row>
    <row r="158" spans="1:22" x14ac:dyDescent="0.3">
      <c r="A158" s="66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67"/>
    </row>
    <row r="159" spans="1:22" x14ac:dyDescent="0.3">
      <c r="A159" s="66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67"/>
    </row>
    <row r="160" spans="1:22" x14ac:dyDescent="0.3">
      <c r="A160" s="66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67"/>
    </row>
    <row r="161" spans="1:22" x14ac:dyDescent="0.3">
      <c r="A161" s="66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67"/>
    </row>
    <row r="162" spans="1:22" x14ac:dyDescent="0.3">
      <c r="A162" s="66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67"/>
    </row>
    <row r="163" spans="1:22" x14ac:dyDescent="0.3">
      <c r="A163" s="66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67"/>
    </row>
    <row r="164" spans="1:22" x14ac:dyDescent="0.3">
      <c r="A164" s="66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67"/>
    </row>
    <row r="165" spans="1:22" x14ac:dyDescent="0.3">
      <c r="A165" s="66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67"/>
    </row>
    <row r="166" spans="1:22" x14ac:dyDescent="0.3">
      <c r="A166" s="66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67"/>
    </row>
    <row r="167" spans="1:22" x14ac:dyDescent="0.3">
      <c r="A167" s="66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67"/>
    </row>
    <row r="168" spans="1:22" x14ac:dyDescent="0.3">
      <c r="A168" s="66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67"/>
    </row>
    <row r="169" spans="1:22" x14ac:dyDescent="0.3">
      <c r="A169" s="66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67"/>
    </row>
    <row r="170" spans="1:22" x14ac:dyDescent="0.3">
      <c r="A170" s="66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67"/>
    </row>
    <row r="171" spans="1:22" x14ac:dyDescent="0.3">
      <c r="A171" s="66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67"/>
    </row>
    <row r="172" spans="1:22" x14ac:dyDescent="0.3">
      <c r="A172" s="66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67"/>
    </row>
    <row r="173" spans="1:22" x14ac:dyDescent="0.3">
      <c r="A173" s="66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67"/>
    </row>
    <row r="174" spans="1:22" x14ac:dyDescent="0.3">
      <c r="A174" s="66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67"/>
    </row>
    <row r="175" spans="1:22" x14ac:dyDescent="0.3">
      <c r="A175" s="66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67"/>
    </row>
    <row r="176" spans="1:22" x14ac:dyDescent="0.3">
      <c r="A176" s="66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67"/>
    </row>
    <row r="177" spans="1:22" x14ac:dyDescent="0.3">
      <c r="A177" s="66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67"/>
    </row>
    <row r="178" spans="1:22" x14ac:dyDescent="0.3">
      <c r="A178" s="66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67"/>
    </row>
    <row r="179" spans="1:22" x14ac:dyDescent="0.3">
      <c r="A179" s="66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67"/>
    </row>
    <row r="180" spans="1:22" x14ac:dyDescent="0.3">
      <c r="A180" s="66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67"/>
    </row>
    <row r="181" spans="1:22" x14ac:dyDescent="0.3">
      <c r="A181" s="66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67"/>
    </row>
    <row r="182" spans="1:22" x14ac:dyDescent="0.3">
      <c r="A182" s="66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67"/>
    </row>
    <row r="183" spans="1:22" ht="9.9499999999999993" customHeight="1" thickBot="1" x14ac:dyDescent="0.35">
      <c r="A183" s="103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5"/>
    </row>
    <row r="184" spans="1:22" x14ac:dyDescent="0.3">
      <c r="A184" s="99"/>
      <c r="B184" s="100"/>
      <c r="C184" s="100"/>
      <c r="D184" s="100"/>
      <c r="E184" s="100"/>
      <c r="F184" s="100"/>
      <c r="G184" s="100"/>
      <c r="H184" s="100"/>
      <c r="I184" s="100"/>
      <c r="J184" s="100"/>
      <c r="K184" s="101"/>
      <c r="L184" s="106" t="s">
        <v>3</v>
      </c>
      <c r="M184" s="107"/>
      <c r="N184" s="107"/>
      <c r="O184" s="107"/>
      <c r="P184" s="107"/>
      <c r="Q184" s="107"/>
      <c r="R184" s="108"/>
      <c r="S184" s="115"/>
      <c r="T184" s="115"/>
      <c r="U184" s="115"/>
      <c r="V184" s="116"/>
    </row>
    <row r="185" spans="1:22" x14ac:dyDescent="0.3">
      <c r="A185" s="93"/>
      <c r="B185" s="89"/>
      <c r="C185" s="89"/>
      <c r="D185" s="89"/>
      <c r="E185" s="89"/>
      <c r="F185" s="89"/>
      <c r="G185" s="89"/>
      <c r="H185" s="89"/>
      <c r="I185" s="89"/>
      <c r="J185" s="89"/>
      <c r="K185" s="102"/>
      <c r="L185" s="109"/>
      <c r="M185" s="110"/>
      <c r="N185" s="110"/>
      <c r="O185" s="110"/>
      <c r="P185" s="110"/>
      <c r="Q185" s="110"/>
      <c r="R185" s="111"/>
      <c r="S185" s="117" t="s">
        <v>4</v>
      </c>
      <c r="T185" s="118"/>
      <c r="U185" s="118"/>
      <c r="V185" s="14">
        <v>5</v>
      </c>
    </row>
    <row r="186" spans="1:22" x14ac:dyDescent="0.3">
      <c r="A186" s="93"/>
      <c r="B186" s="89"/>
      <c r="C186" s="89"/>
      <c r="D186" s="89"/>
      <c r="E186" s="89"/>
      <c r="F186" s="89"/>
      <c r="G186" s="89"/>
      <c r="H186" s="89"/>
      <c r="I186" s="89"/>
      <c r="J186" s="89"/>
      <c r="K186" s="102"/>
      <c r="L186" s="109"/>
      <c r="M186" s="110"/>
      <c r="N186" s="110"/>
      <c r="O186" s="110"/>
      <c r="P186" s="110"/>
      <c r="Q186" s="110"/>
      <c r="R186" s="111"/>
      <c r="S186" s="118" t="str">
        <f>$S$3</f>
        <v>Status: 12/2023</v>
      </c>
      <c r="T186" s="118"/>
      <c r="U186" s="118"/>
      <c r="V186" s="119"/>
    </row>
    <row r="187" spans="1:22" ht="17.25" thickBot="1" x14ac:dyDescent="0.35">
      <c r="A187" s="103"/>
      <c r="B187" s="104"/>
      <c r="C187" s="104"/>
      <c r="D187" s="104"/>
      <c r="E187" s="104"/>
      <c r="F187" s="104"/>
      <c r="G187" s="104"/>
      <c r="H187" s="104"/>
      <c r="I187" s="104"/>
      <c r="J187" s="104"/>
      <c r="K187" s="105"/>
      <c r="L187" s="112"/>
      <c r="M187" s="113"/>
      <c r="N187" s="113"/>
      <c r="O187" s="113"/>
      <c r="P187" s="113"/>
      <c r="Q187" s="113"/>
      <c r="R187" s="114"/>
      <c r="S187" s="120"/>
      <c r="T187" s="104"/>
      <c r="U187" s="104"/>
      <c r="V187" s="105"/>
    </row>
    <row r="188" spans="1:22" ht="9.9499999999999993" customHeight="1" x14ac:dyDescent="0.3">
      <c r="A188" s="93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102"/>
    </row>
    <row r="189" spans="1:22" x14ac:dyDescent="0.3">
      <c r="A189" s="66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67"/>
    </row>
    <row r="190" spans="1:22" x14ac:dyDescent="0.3">
      <c r="A190" s="66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67"/>
    </row>
    <row r="191" spans="1:22" x14ac:dyDescent="0.3">
      <c r="A191" s="66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67"/>
    </row>
    <row r="192" spans="1:22" x14ac:dyDescent="0.3">
      <c r="A192" s="66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67"/>
    </row>
    <row r="193" spans="1:22" x14ac:dyDescent="0.3">
      <c r="A193" s="66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67"/>
    </row>
    <row r="194" spans="1:22" x14ac:dyDescent="0.3">
      <c r="A194" s="66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67"/>
    </row>
    <row r="195" spans="1:22" x14ac:dyDescent="0.3">
      <c r="A195" s="66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67"/>
    </row>
    <row r="196" spans="1:22" x14ac:dyDescent="0.3">
      <c r="A196" s="66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67"/>
    </row>
    <row r="197" spans="1:22" x14ac:dyDescent="0.3">
      <c r="A197" s="66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67"/>
    </row>
    <row r="198" spans="1:22" x14ac:dyDescent="0.3">
      <c r="A198" s="66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67"/>
    </row>
    <row r="199" spans="1:22" x14ac:dyDescent="0.3">
      <c r="A199" s="66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67"/>
    </row>
    <row r="200" spans="1:22" x14ac:dyDescent="0.3">
      <c r="A200" s="66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67"/>
    </row>
    <row r="201" spans="1:22" x14ac:dyDescent="0.3">
      <c r="A201" s="66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67"/>
    </row>
    <row r="202" spans="1:22" x14ac:dyDescent="0.3">
      <c r="A202" s="66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67"/>
    </row>
    <row r="203" spans="1:22" x14ac:dyDescent="0.3">
      <c r="A203" s="66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67"/>
    </row>
    <row r="204" spans="1:22" x14ac:dyDescent="0.3">
      <c r="A204" s="66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67"/>
    </row>
    <row r="205" spans="1:22" x14ac:dyDescent="0.3">
      <c r="A205" s="66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67"/>
    </row>
    <row r="206" spans="1:22" x14ac:dyDescent="0.3">
      <c r="A206" s="66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67"/>
    </row>
    <row r="207" spans="1:22" x14ac:dyDescent="0.3">
      <c r="A207" s="66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67"/>
    </row>
    <row r="208" spans="1:22" x14ac:dyDescent="0.3">
      <c r="A208" s="66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67"/>
    </row>
    <row r="209" spans="1:22" x14ac:dyDescent="0.3">
      <c r="A209" s="66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67"/>
    </row>
    <row r="210" spans="1:22" x14ac:dyDescent="0.3">
      <c r="A210" s="66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67"/>
    </row>
    <row r="211" spans="1:22" x14ac:dyDescent="0.3">
      <c r="A211" s="66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67"/>
    </row>
    <row r="212" spans="1:22" x14ac:dyDescent="0.3">
      <c r="A212" s="66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67"/>
    </row>
    <row r="213" spans="1:22" x14ac:dyDescent="0.3">
      <c r="A213" s="66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67"/>
    </row>
    <row r="214" spans="1:22" x14ac:dyDescent="0.3">
      <c r="A214" s="66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67"/>
    </row>
    <row r="215" spans="1:22" x14ac:dyDescent="0.3">
      <c r="A215" s="66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67"/>
    </row>
    <row r="216" spans="1:22" x14ac:dyDescent="0.3">
      <c r="A216" s="66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67"/>
    </row>
    <row r="217" spans="1:22" x14ac:dyDescent="0.3">
      <c r="A217" s="66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67"/>
    </row>
    <row r="218" spans="1:22" x14ac:dyDescent="0.3">
      <c r="A218" s="66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67"/>
    </row>
    <row r="219" spans="1:22" x14ac:dyDescent="0.3">
      <c r="A219" s="66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67"/>
    </row>
    <row r="220" spans="1:22" x14ac:dyDescent="0.3">
      <c r="A220" s="66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67"/>
    </row>
    <row r="221" spans="1:22" x14ac:dyDescent="0.3">
      <c r="A221" s="66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67"/>
    </row>
    <row r="222" spans="1:22" x14ac:dyDescent="0.3">
      <c r="A222" s="66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67"/>
    </row>
    <row r="223" spans="1:22" x14ac:dyDescent="0.3">
      <c r="A223" s="66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67"/>
    </row>
    <row r="224" spans="1:22" x14ac:dyDescent="0.3">
      <c r="A224" s="66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67"/>
    </row>
    <row r="225" spans="1:22" x14ac:dyDescent="0.3">
      <c r="A225" s="68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69"/>
    </row>
    <row r="226" spans="1:22" x14ac:dyDescent="0.3">
      <c r="A226" s="60"/>
      <c r="V226" s="59"/>
    </row>
    <row r="227" spans="1:22" ht="48.95" customHeight="1" x14ac:dyDescent="0.3">
      <c r="A227" s="220"/>
      <c r="B227" s="208" t="str">
        <f>HLOOKUP($U$5,Texte!$A$1:$C$1424,129,FALSE)</f>
        <v>Hiermit willige ich ein, dass meine Daten gespeichert werden.
Zur Löschung Ihrer Daten kontaktieren Sie uns bitte unter info@mezger.eu</v>
      </c>
      <c r="C227" s="209"/>
      <c r="D227" s="209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10"/>
      <c r="U227" s="88"/>
      <c r="V227" s="102"/>
    </row>
    <row r="228" spans="1:22" ht="51.4" customHeight="1" x14ac:dyDescent="0.3">
      <c r="A228" s="220"/>
      <c r="B228" s="221" t="str">
        <f>HLOOKUP($U$5,Texte!$A$1:$C$1424,130,FALSE)</f>
        <v>Senden Sie bitte Muster der verschiedenen Größen,
damit wir die richtige Heftklammer bestimmen können.</v>
      </c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3"/>
      <c r="U228" s="88"/>
      <c r="V228" s="102"/>
    </row>
    <row r="229" spans="1:22" ht="32.65" customHeight="1" x14ac:dyDescent="0.3">
      <c r="A229" s="220"/>
      <c r="B229" s="224" t="str">
        <f>HLOOKUP($U$5,Texte!$A$1:$C$1424,131,FALSE)</f>
        <v>Fragebogen bitte ausgefüllt zurücksenden an:</v>
      </c>
      <c r="C229" s="22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6"/>
      <c r="U229" s="88"/>
      <c r="V229" s="102"/>
    </row>
    <row r="230" spans="1:22" ht="24.95" customHeight="1" x14ac:dyDescent="0.3">
      <c r="A230" s="220"/>
      <c r="B230" s="233" t="s">
        <v>400</v>
      </c>
      <c r="C230" s="234"/>
      <c r="D230" s="234"/>
      <c r="E230" s="234"/>
      <c r="F230" s="234"/>
      <c r="G230" s="234"/>
      <c r="H230" s="234"/>
      <c r="I230" s="234"/>
      <c r="J230" s="234"/>
      <c r="K230" s="94"/>
      <c r="L230" s="94"/>
      <c r="M230" s="94"/>
      <c r="N230" s="94"/>
      <c r="O230" s="94"/>
      <c r="P230" s="94"/>
      <c r="Q230" s="94"/>
      <c r="R230" s="94"/>
      <c r="S230" s="94"/>
      <c r="T230" s="95"/>
      <c r="U230" s="88"/>
      <c r="V230" s="102"/>
    </row>
    <row r="231" spans="1:22" x14ac:dyDescent="0.3">
      <c r="A231" s="220"/>
      <c r="B231" s="232" t="s">
        <v>401</v>
      </c>
      <c r="C231" s="227"/>
      <c r="D231" s="227"/>
      <c r="E231" s="227"/>
      <c r="F231" s="227"/>
      <c r="G231" s="227"/>
      <c r="H231" s="227"/>
      <c r="I231" s="227"/>
      <c r="J231" s="227"/>
      <c r="K231" s="227" t="s">
        <v>404</v>
      </c>
      <c r="L231" s="227"/>
      <c r="M231" s="227"/>
      <c r="N231" s="227"/>
      <c r="O231" s="227"/>
      <c r="P231" s="227"/>
      <c r="Q231" s="227"/>
      <c r="R231" s="227"/>
      <c r="S231" s="227"/>
      <c r="T231" s="228"/>
      <c r="U231" s="88"/>
      <c r="V231" s="102"/>
    </row>
    <row r="232" spans="1:22" x14ac:dyDescent="0.3">
      <c r="A232" s="220"/>
      <c r="B232" s="232" t="s">
        <v>402</v>
      </c>
      <c r="C232" s="227"/>
      <c r="D232" s="227"/>
      <c r="E232" s="227"/>
      <c r="F232" s="227"/>
      <c r="G232" s="227"/>
      <c r="H232" s="227"/>
      <c r="I232" s="227"/>
      <c r="J232" s="227"/>
      <c r="K232" s="227" t="s">
        <v>405</v>
      </c>
      <c r="L232" s="227"/>
      <c r="M232" s="227"/>
      <c r="N232" s="227"/>
      <c r="O232" s="227"/>
      <c r="P232" s="227"/>
      <c r="Q232" s="227"/>
      <c r="R232" s="227"/>
      <c r="S232" s="227"/>
      <c r="T232" s="228"/>
      <c r="U232" s="88"/>
      <c r="V232" s="102"/>
    </row>
    <row r="233" spans="1:22" x14ac:dyDescent="0.3">
      <c r="A233" s="220"/>
      <c r="B233" s="231" t="s">
        <v>403</v>
      </c>
      <c r="C233" s="229"/>
      <c r="D233" s="229"/>
      <c r="E233" s="229"/>
      <c r="F233" s="229"/>
      <c r="G233" s="229"/>
      <c r="H233" s="229"/>
      <c r="I233" s="229"/>
      <c r="J233" s="229"/>
      <c r="K233" s="229" t="s">
        <v>406</v>
      </c>
      <c r="L233" s="229"/>
      <c r="M233" s="229"/>
      <c r="N233" s="229"/>
      <c r="O233" s="229"/>
      <c r="P233" s="229"/>
      <c r="Q233" s="229"/>
      <c r="R233" s="229"/>
      <c r="S233" s="229"/>
      <c r="T233" s="230"/>
      <c r="U233" s="88"/>
      <c r="V233" s="102"/>
    </row>
    <row r="234" spans="1:22" ht="30.4" customHeight="1" x14ac:dyDescent="0.3">
      <c r="A234" s="220"/>
      <c r="B234" s="211" t="str">
        <f>HLOOKUP($U$5,Texte!$A$1:$C$1424,132,FALSE)</f>
        <v>Vielen Dank für Ihre Bemühungen</v>
      </c>
      <c r="C234" s="212"/>
      <c r="D234" s="212"/>
      <c r="E234" s="212"/>
      <c r="F234" s="212"/>
      <c r="G234" s="212"/>
      <c r="H234" s="212"/>
      <c r="I234" s="212"/>
      <c r="J234" s="212"/>
      <c r="K234" s="212"/>
      <c r="L234" s="212"/>
      <c r="M234" s="212"/>
      <c r="N234" s="212"/>
      <c r="O234" s="212"/>
      <c r="P234" s="212"/>
      <c r="Q234" s="212"/>
      <c r="R234" s="212"/>
      <c r="S234" s="212"/>
      <c r="T234" s="213"/>
      <c r="U234" s="88"/>
      <c r="V234" s="102"/>
    </row>
    <row r="235" spans="1:22" ht="36" customHeight="1" x14ac:dyDescent="0.3">
      <c r="A235" s="220"/>
      <c r="B235" s="214" t="str">
        <f>HLOOKUP($U$5,Texte!$A$1:$C$1424,133,FALSE)</f>
        <v>Ihr MEZGER-Team</v>
      </c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16"/>
      <c r="U235" s="88"/>
      <c r="V235" s="102"/>
    </row>
    <row r="236" spans="1:22" x14ac:dyDescent="0.3">
      <c r="A236" s="220"/>
      <c r="B236" s="217" t="s">
        <v>407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9"/>
      <c r="U236" s="88"/>
      <c r="V236" s="102"/>
    </row>
    <row r="237" spans="1:22" x14ac:dyDescent="0.3">
      <c r="A237" s="220"/>
      <c r="B237" s="23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50"/>
      <c r="U237" s="88"/>
      <c r="V237" s="102"/>
    </row>
    <row r="238" spans="1:22" ht="17.25" thickBot="1" x14ac:dyDescent="0.35">
      <c r="A238" s="103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5"/>
    </row>
  </sheetData>
  <sheetProtection sheet="1" objects="1" scenarios="1"/>
  <mergeCells count="405">
    <mergeCell ref="B234:T234"/>
    <mergeCell ref="B235:T235"/>
    <mergeCell ref="B236:T236"/>
    <mergeCell ref="U227:V237"/>
    <mergeCell ref="A227:A237"/>
    <mergeCell ref="A238:V238"/>
    <mergeCell ref="F11:U11"/>
    <mergeCell ref="B228:T228"/>
    <mergeCell ref="B229:T229"/>
    <mergeCell ref="K231:T231"/>
    <mergeCell ref="K232:T232"/>
    <mergeCell ref="K233:T233"/>
    <mergeCell ref="K230:T230"/>
    <mergeCell ref="B233:J233"/>
    <mergeCell ref="B232:J232"/>
    <mergeCell ref="B231:J231"/>
    <mergeCell ref="B230:J230"/>
    <mergeCell ref="A184:K187"/>
    <mergeCell ref="L184:R187"/>
    <mergeCell ref="S184:V184"/>
    <mergeCell ref="S185:U185"/>
    <mergeCell ref="S186:V186"/>
    <mergeCell ref="S187:V187"/>
    <mergeCell ref="A188:V188"/>
    <mergeCell ref="A121:V121"/>
    <mergeCell ref="P116:U116"/>
    <mergeCell ref="M117:U117"/>
    <mergeCell ref="B118:U118"/>
    <mergeCell ref="A183:V183"/>
    <mergeCell ref="B227:T227"/>
    <mergeCell ref="C120:U120"/>
    <mergeCell ref="A122:K125"/>
    <mergeCell ref="L122:R125"/>
    <mergeCell ref="S122:V122"/>
    <mergeCell ref="S123:U123"/>
    <mergeCell ref="S124:V124"/>
    <mergeCell ref="S125:V125"/>
    <mergeCell ref="C133:U133"/>
    <mergeCell ref="F119:G119"/>
    <mergeCell ref="B116:F117"/>
    <mergeCell ref="H116:K116"/>
    <mergeCell ref="M116:N116"/>
    <mergeCell ref="G103:U103"/>
    <mergeCell ref="C103:E103"/>
    <mergeCell ref="G104:U104"/>
    <mergeCell ref="G105:U105"/>
    <mergeCell ref="A114:V114"/>
    <mergeCell ref="C113:U113"/>
    <mergeCell ref="A106:V106"/>
    <mergeCell ref="C107:U107"/>
    <mergeCell ref="C108:U108"/>
    <mergeCell ref="A107:A113"/>
    <mergeCell ref="C119:D119"/>
    <mergeCell ref="I119:J119"/>
    <mergeCell ref="L119:M119"/>
    <mergeCell ref="O119:P119"/>
    <mergeCell ref="Q119:U119"/>
    <mergeCell ref="A37:V37"/>
    <mergeCell ref="A101:V101"/>
    <mergeCell ref="A102:A103"/>
    <mergeCell ref="C102:U102"/>
    <mergeCell ref="V102:V103"/>
    <mergeCell ref="C104:E105"/>
    <mergeCell ref="A132:V132"/>
    <mergeCell ref="A129:V129"/>
    <mergeCell ref="C130:U130"/>
    <mergeCell ref="G131:U131"/>
    <mergeCell ref="C131:E131"/>
    <mergeCell ref="A130:A131"/>
    <mergeCell ref="V130:V131"/>
    <mergeCell ref="A126:V126"/>
    <mergeCell ref="C127:U127"/>
    <mergeCell ref="B128:F128"/>
    <mergeCell ref="A127:A128"/>
    <mergeCell ref="V127:V128"/>
    <mergeCell ref="C109:U109"/>
    <mergeCell ref="C110:U110"/>
    <mergeCell ref="C111:U111"/>
    <mergeCell ref="C112:U112"/>
    <mergeCell ref="B100:C100"/>
    <mergeCell ref="C115:U115"/>
    <mergeCell ref="H100:I100"/>
    <mergeCell ref="K100:L100"/>
    <mergeCell ref="N100:O100"/>
    <mergeCell ref="P100:U100"/>
    <mergeCell ref="A98:V98"/>
    <mergeCell ref="C99:U99"/>
    <mergeCell ref="A99:A100"/>
    <mergeCell ref="V99:V100"/>
    <mergeCell ref="A95:V95"/>
    <mergeCell ref="C96:U96"/>
    <mergeCell ref="S97:U97"/>
    <mergeCell ref="A96:A97"/>
    <mergeCell ref="V96:V97"/>
    <mergeCell ref="Q94:U94"/>
    <mergeCell ref="B94:D94"/>
    <mergeCell ref="V91:V94"/>
    <mergeCell ref="A91:A94"/>
    <mergeCell ref="E94:G94"/>
    <mergeCell ref="H94:J94"/>
    <mergeCell ref="K94:M94"/>
    <mergeCell ref="N94:P94"/>
    <mergeCell ref="F93:G93"/>
    <mergeCell ref="L93:M93"/>
    <mergeCell ref="I93:J93"/>
    <mergeCell ref="O93:P93"/>
    <mergeCell ref="R93:U93"/>
    <mergeCell ref="A90:V90"/>
    <mergeCell ref="A83:A89"/>
    <mergeCell ref="V83:V89"/>
    <mergeCell ref="C91:U91"/>
    <mergeCell ref="B92:C92"/>
    <mergeCell ref="E92:G92"/>
    <mergeCell ref="I92:K92"/>
    <mergeCell ref="M92:O92"/>
    <mergeCell ref="Q92:R92"/>
    <mergeCell ref="S92:U92"/>
    <mergeCell ref="C88:G88"/>
    <mergeCell ref="I88:K88"/>
    <mergeCell ref="M88:P88"/>
    <mergeCell ref="Q88:U88"/>
    <mergeCell ref="C89:G89"/>
    <mergeCell ref="I89:P89"/>
    <mergeCell ref="R89:U89"/>
    <mergeCell ref="C86:G86"/>
    <mergeCell ref="I86:K86"/>
    <mergeCell ref="M86:P86"/>
    <mergeCell ref="Q86:U86"/>
    <mergeCell ref="C87:G87"/>
    <mergeCell ref="I87:K87"/>
    <mergeCell ref="M87:P87"/>
    <mergeCell ref="Q87:U87"/>
    <mergeCell ref="A82:V82"/>
    <mergeCell ref="C83:U83"/>
    <mergeCell ref="C85:G85"/>
    <mergeCell ref="I85:K85"/>
    <mergeCell ref="M85:P85"/>
    <mergeCell ref="Q84:U84"/>
    <mergeCell ref="Q85:U85"/>
    <mergeCell ref="B84:P84"/>
    <mergeCell ref="A78:K81"/>
    <mergeCell ref="L78:R81"/>
    <mergeCell ref="S78:V78"/>
    <mergeCell ref="S79:U79"/>
    <mergeCell ref="S80:V80"/>
    <mergeCell ref="S81:V81"/>
    <mergeCell ref="R76:S76"/>
    <mergeCell ref="T76:U76"/>
    <mergeCell ref="A77:V77"/>
    <mergeCell ref="V59:V76"/>
    <mergeCell ref="A59:A76"/>
    <mergeCell ref="B76:I76"/>
    <mergeCell ref="J76:K76"/>
    <mergeCell ref="L76:M76"/>
    <mergeCell ref="N76:O76"/>
    <mergeCell ref="P76:Q76"/>
    <mergeCell ref="B75:I75"/>
    <mergeCell ref="J75:K75"/>
    <mergeCell ref="L75:M75"/>
    <mergeCell ref="N75:O75"/>
    <mergeCell ref="P75:Q75"/>
    <mergeCell ref="R75:S75"/>
    <mergeCell ref="T75:U75"/>
    <mergeCell ref="R68:S68"/>
    <mergeCell ref="T68:U68"/>
    <mergeCell ref="B68:I68"/>
    <mergeCell ref="J68:K68"/>
    <mergeCell ref="L68:M68"/>
    <mergeCell ref="N68:O68"/>
    <mergeCell ref="P68:Q68"/>
    <mergeCell ref="R66:S66"/>
    <mergeCell ref="T66:U66"/>
    <mergeCell ref="B67:I67"/>
    <mergeCell ref="J67:K67"/>
    <mergeCell ref="L67:M67"/>
    <mergeCell ref="N67:O67"/>
    <mergeCell ref="P67:Q67"/>
    <mergeCell ref="R67:S67"/>
    <mergeCell ref="T67:U67"/>
    <mergeCell ref="B66:I66"/>
    <mergeCell ref="J66:K66"/>
    <mergeCell ref="L66:M66"/>
    <mergeCell ref="N66:O66"/>
    <mergeCell ref="P66:Q66"/>
    <mergeCell ref="R64:S64"/>
    <mergeCell ref="T64:U64"/>
    <mergeCell ref="B65:I65"/>
    <mergeCell ref="J65:K65"/>
    <mergeCell ref="L65:M65"/>
    <mergeCell ref="N65:O65"/>
    <mergeCell ref="P65:Q65"/>
    <mergeCell ref="R65:S65"/>
    <mergeCell ref="T65:U65"/>
    <mergeCell ref="B64:I64"/>
    <mergeCell ref="J64:K64"/>
    <mergeCell ref="L64:M64"/>
    <mergeCell ref="N64:O64"/>
    <mergeCell ref="P64:Q64"/>
    <mergeCell ref="R62:S62"/>
    <mergeCell ref="T62:U62"/>
    <mergeCell ref="B63:I63"/>
    <mergeCell ref="J63:K63"/>
    <mergeCell ref="L63:M63"/>
    <mergeCell ref="N63:O63"/>
    <mergeCell ref="P63:Q63"/>
    <mergeCell ref="R63:S63"/>
    <mergeCell ref="T63:U63"/>
    <mergeCell ref="B62:I62"/>
    <mergeCell ref="J62:K62"/>
    <mergeCell ref="L62:M62"/>
    <mergeCell ref="N62:O62"/>
    <mergeCell ref="P62:Q62"/>
    <mergeCell ref="J59:O59"/>
    <mergeCell ref="P59:U59"/>
    <mergeCell ref="B59:I60"/>
    <mergeCell ref="B61:I61"/>
    <mergeCell ref="J61:K61"/>
    <mergeCell ref="L61:M61"/>
    <mergeCell ref="N61:O61"/>
    <mergeCell ref="P61:Q61"/>
    <mergeCell ref="R61:S61"/>
    <mergeCell ref="T61:U61"/>
    <mergeCell ref="T60:U60"/>
    <mergeCell ref="R60:S60"/>
    <mergeCell ref="P60:Q60"/>
    <mergeCell ref="N60:O60"/>
    <mergeCell ref="L60:M60"/>
    <mergeCell ref="J60:K60"/>
    <mergeCell ref="A53:A57"/>
    <mergeCell ref="V53:V57"/>
    <mergeCell ref="A58:V58"/>
    <mergeCell ref="H55:O55"/>
    <mergeCell ref="P55:U56"/>
    <mergeCell ref="B55:G56"/>
    <mergeCell ref="V49:V51"/>
    <mergeCell ref="C53:U53"/>
    <mergeCell ref="B57:G57"/>
    <mergeCell ref="C54:G54"/>
    <mergeCell ref="H57:O57"/>
    <mergeCell ref="P57:U57"/>
    <mergeCell ref="J56:K56"/>
    <mergeCell ref="N56:O56"/>
    <mergeCell ref="Q54:U54"/>
    <mergeCell ref="I54:O54"/>
    <mergeCell ref="B51:C51"/>
    <mergeCell ref="D50:F50"/>
    <mergeCell ref="G50:U50"/>
    <mergeCell ref="D51:U51"/>
    <mergeCell ref="A52:V52"/>
    <mergeCell ref="A49:A51"/>
    <mergeCell ref="A48:V48"/>
    <mergeCell ref="A43:A47"/>
    <mergeCell ref="V43:V47"/>
    <mergeCell ref="C49:U49"/>
    <mergeCell ref="B50:C50"/>
    <mergeCell ref="A42:V42"/>
    <mergeCell ref="C46:U46"/>
    <mergeCell ref="B47:U47"/>
    <mergeCell ref="C43:U43"/>
    <mergeCell ref="C44:G44"/>
    <mergeCell ref="I44:M44"/>
    <mergeCell ref="O44:U44"/>
    <mergeCell ref="B45:G45"/>
    <mergeCell ref="H45:M45"/>
    <mergeCell ref="N45:U45"/>
    <mergeCell ref="S2:U2"/>
    <mergeCell ref="B7:E7"/>
    <mergeCell ref="F7:J7"/>
    <mergeCell ref="P7:U7"/>
    <mergeCell ref="A1:K4"/>
    <mergeCell ref="L1:R4"/>
    <mergeCell ref="S1:V1"/>
    <mergeCell ref="S3:V3"/>
    <mergeCell ref="S4:V4"/>
    <mergeCell ref="A5:T5"/>
    <mergeCell ref="B9:E9"/>
    <mergeCell ref="F9:J9"/>
    <mergeCell ref="K9:O9"/>
    <mergeCell ref="P9:U9"/>
    <mergeCell ref="K7:O7"/>
    <mergeCell ref="B8:E8"/>
    <mergeCell ref="F8:J8"/>
    <mergeCell ref="K8:O8"/>
    <mergeCell ref="P8:U8"/>
    <mergeCell ref="B10:E10"/>
    <mergeCell ref="F10:J10"/>
    <mergeCell ref="K10:O10"/>
    <mergeCell ref="P10:U10"/>
    <mergeCell ref="B11:E11"/>
    <mergeCell ref="B13:U13"/>
    <mergeCell ref="F16:K19"/>
    <mergeCell ref="C16:E16"/>
    <mergeCell ref="M16:N16"/>
    <mergeCell ref="P16:U19"/>
    <mergeCell ref="P26:U26"/>
    <mergeCell ref="P27:U27"/>
    <mergeCell ref="Q28:U28"/>
    <mergeCell ref="S22:U22"/>
    <mergeCell ref="C21:U21"/>
    <mergeCell ref="F22:H22"/>
    <mergeCell ref="F23:H23"/>
    <mergeCell ref="J22:L22"/>
    <mergeCell ref="J23:L23"/>
    <mergeCell ref="N22:O22"/>
    <mergeCell ref="N23:O23"/>
    <mergeCell ref="Q22:R22"/>
    <mergeCell ref="Q23:R23"/>
    <mergeCell ref="J28:L28"/>
    <mergeCell ref="C26:H26"/>
    <mergeCell ref="I26:L26"/>
    <mergeCell ref="C27:H27"/>
    <mergeCell ref="I27:L27"/>
    <mergeCell ref="M24:O27"/>
    <mergeCell ref="I24:L24"/>
    <mergeCell ref="C24:H24"/>
    <mergeCell ref="C25:H25"/>
    <mergeCell ref="I25:L25"/>
    <mergeCell ref="A38:K41"/>
    <mergeCell ref="L38:R41"/>
    <mergeCell ref="S38:V38"/>
    <mergeCell ref="S39:U39"/>
    <mergeCell ref="S40:V40"/>
    <mergeCell ref="S41:V41"/>
    <mergeCell ref="A6:V6"/>
    <mergeCell ref="A14:V14"/>
    <mergeCell ref="A7:A11"/>
    <mergeCell ref="V7:V11"/>
    <mergeCell ref="A15:A19"/>
    <mergeCell ref="C15:V15"/>
    <mergeCell ref="V16:V19"/>
    <mergeCell ref="A12:V12"/>
    <mergeCell ref="A20:V20"/>
    <mergeCell ref="A21:A30"/>
    <mergeCell ref="S23:U23"/>
    <mergeCell ref="B28:E28"/>
    <mergeCell ref="F28:G28"/>
    <mergeCell ref="H28:I28"/>
    <mergeCell ref="P24:U24"/>
    <mergeCell ref="P25:U25"/>
    <mergeCell ref="M28:N28"/>
    <mergeCell ref="O28:P28"/>
    <mergeCell ref="B30:U30"/>
    <mergeCell ref="O33:U33"/>
    <mergeCell ref="N34:U34"/>
    <mergeCell ref="L35:U35"/>
    <mergeCell ref="K36:U36"/>
    <mergeCell ref="C35:J35"/>
    <mergeCell ref="B36:J36"/>
    <mergeCell ref="A31:U31"/>
    <mergeCell ref="C33:G33"/>
    <mergeCell ref="I33:M33"/>
    <mergeCell ref="B34:G34"/>
    <mergeCell ref="H34:M34"/>
    <mergeCell ref="C32:U32"/>
    <mergeCell ref="B72:I72"/>
    <mergeCell ref="J72:K72"/>
    <mergeCell ref="L72:M72"/>
    <mergeCell ref="N72:O72"/>
    <mergeCell ref="P72:Q72"/>
    <mergeCell ref="R72:S72"/>
    <mergeCell ref="T72:U72"/>
    <mergeCell ref="B71:I71"/>
    <mergeCell ref="J71:K71"/>
    <mergeCell ref="L71:M71"/>
    <mergeCell ref="N71:O71"/>
    <mergeCell ref="P71:Q71"/>
    <mergeCell ref="R71:S71"/>
    <mergeCell ref="T71:U71"/>
    <mergeCell ref="J70:K70"/>
    <mergeCell ref="L70:M70"/>
    <mergeCell ref="N70:O70"/>
    <mergeCell ref="P70:Q70"/>
    <mergeCell ref="R70:S70"/>
    <mergeCell ref="T70:U70"/>
    <mergeCell ref="B69:I69"/>
    <mergeCell ref="J69:K69"/>
    <mergeCell ref="L69:M69"/>
    <mergeCell ref="N69:O69"/>
    <mergeCell ref="P69:Q69"/>
    <mergeCell ref="R69:S69"/>
    <mergeCell ref="T69:U69"/>
    <mergeCell ref="C29:G29"/>
    <mergeCell ref="H29:U29"/>
    <mergeCell ref="G128:I128"/>
    <mergeCell ref="J128:U128"/>
    <mergeCell ref="C97:D97"/>
    <mergeCell ref="F97:G97"/>
    <mergeCell ref="Q97:R97"/>
    <mergeCell ref="N97:O97"/>
    <mergeCell ref="I97:J97"/>
    <mergeCell ref="B73:I73"/>
    <mergeCell ref="J73:K73"/>
    <mergeCell ref="L73:M73"/>
    <mergeCell ref="N73:O73"/>
    <mergeCell ref="P73:Q73"/>
    <mergeCell ref="R73:S73"/>
    <mergeCell ref="T73:U73"/>
    <mergeCell ref="B74:I74"/>
    <mergeCell ref="J74:K74"/>
    <mergeCell ref="L74:M74"/>
    <mergeCell ref="N74:O74"/>
    <mergeCell ref="P74:Q74"/>
    <mergeCell ref="R74:S74"/>
    <mergeCell ref="T74:U74"/>
    <mergeCell ref="B70:I70"/>
  </mergeCells>
  <hyperlinks>
    <hyperlink ref="K231" r:id="rId1" display="mailto:info@mezger.eu" xr:uid="{3D9CF64F-2E27-4C08-97F0-39993554C935}"/>
  </hyperlinks>
  <pageMargins left="0.70866141732283472" right="0.70866141732283472" top="0.39370078740157483" bottom="0.55674019607843139" header="0.31496062992125984" footer="0.31496062992125984"/>
  <pageSetup paperSize="9" scale="77" fitToHeight="0" orientation="portrait" r:id="rId2"/>
  <headerFooter>
    <oddFooter>&amp;LSeite &amp;P von &amp;N &amp;Z&amp;F&amp;R&amp;G</oddFooter>
  </headerFooter>
  <rowBreaks count="4" manualBreakCount="4">
    <brk id="37" max="21" man="1"/>
    <brk id="77" max="16383" man="1"/>
    <brk id="121" max="21" man="1"/>
    <brk id="183" max="21" man="1"/>
  </rowBreak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</xdr:col>
                    <xdr:colOff>95250</xdr:colOff>
                    <xdr:row>14</xdr:row>
                    <xdr:rowOff>228600</xdr:rowOff>
                  </from>
                  <to>
                    <xdr:col>1</xdr:col>
                    <xdr:colOff>333375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11</xdr:col>
                    <xdr:colOff>95250</xdr:colOff>
                    <xdr:row>14</xdr:row>
                    <xdr:rowOff>228600</xdr:rowOff>
                  </from>
                  <to>
                    <xdr:col>11</xdr:col>
                    <xdr:colOff>333375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4</xdr:col>
                    <xdr:colOff>85725</xdr:colOff>
                    <xdr:row>20</xdr:row>
                    <xdr:rowOff>247650</xdr:rowOff>
                  </from>
                  <to>
                    <xdr:col>4</xdr:col>
                    <xdr:colOff>314325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257175</xdr:rowOff>
                  </from>
                  <to>
                    <xdr:col>4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8</xdr:col>
                    <xdr:colOff>76200</xdr:colOff>
                    <xdr:row>20</xdr:row>
                    <xdr:rowOff>247650</xdr:rowOff>
                  </from>
                  <to>
                    <xdr:col>8</xdr:col>
                    <xdr:colOff>314325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8</xdr:col>
                    <xdr:colOff>76200</xdr:colOff>
                    <xdr:row>21</xdr:row>
                    <xdr:rowOff>257175</xdr:rowOff>
                  </from>
                  <to>
                    <xdr:col>8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57150</xdr:colOff>
                    <xdr:row>20</xdr:row>
                    <xdr:rowOff>247650</xdr:rowOff>
                  </from>
                  <to>
                    <xdr:col>12</xdr:col>
                    <xdr:colOff>304800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12</xdr:col>
                    <xdr:colOff>57150</xdr:colOff>
                    <xdr:row>21</xdr:row>
                    <xdr:rowOff>257175</xdr:rowOff>
                  </from>
                  <to>
                    <xdr:col>12</xdr:col>
                    <xdr:colOff>304800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15</xdr:col>
                    <xdr:colOff>66675</xdr:colOff>
                    <xdr:row>20</xdr:row>
                    <xdr:rowOff>247650</xdr:rowOff>
                  </from>
                  <to>
                    <xdr:col>15</xdr:col>
                    <xdr:colOff>304800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15</xdr:col>
                    <xdr:colOff>66675</xdr:colOff>
                    <xdr:row>21</xdr:row>
                    <xdr:rowOff>257175</xdr:rowOff>
                  </from>
                  <to>
                    <xdr:col>15</xdr:col>
                    <xdr:colOff>304800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Check Box 16">
              <controlPr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9525</xdr:rowOff>
                  </from>
                  <to>
                    <xdr:col>1</xdr:col>
                    <xdr:colOff>314325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>
                <anchor moveWithCells="1">
                  <from>
                    <xdr:col>1</xdr:col>
                    <xdr:colOff>76200</xdr:colOff>
                    <xdr:row>24</xdr:row>
                    <xdr:rowOff>47625</xdr:rowOff>
                  </from>
                  <to>
                    <xdr:col>1</xdr:col>
                    <xdr:colOff>314325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8" name="Check Box 18">
              <controlPr defaultSize="0" autoFill="0" autoLine="0" autoPict="0">
                <anchor moveWithCells="1">
                  <from>
                    <xdr:col>1</xdr:col>
                    <xdr:colOff>76200</xdr:colOff>
                    <xdr:row>25</xdr:row>
                    <xdr:rowOff>47625</xdr:rowOff>
                  </from>
                  <to>
                    <xdr:col>1</xdr:col>
                    <xdr:colOff>314325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9" name="Check Box 19">
              <controlPr defaultSize="0" autoFill="0" autoLine="0" autoPict="0">
                <anchor moveWithCells="1">
                  <from>
                    <xdr:col>1</xdr:col>
                    <xdr:colOff>76200</xdr:colOff>
                    <xdr:row>26</xdr:row>
                    <xdr:rowOff>47625</xdr:rowOff>
                  </from>
                  <to>
                    <xdr:col>1</xdr:col>
                    <xdr:colOff>314325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0" name="Check Box 20">
              <controlPr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28575</xdr:rowOff>
                  </from>
                  <to>
                    <xdr:col>1</xdr:col>
                    <xdr:colOff>304800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Check Box 21">
              <controlPr defaultSize="0" autoFill="0" autoLine="0" autoPict="0">
                <anchor moveWithCells="1">
                  <from>
                    <xdr:col>1</xdr:col>
                    <xdr:colOff>66675</xdr:colOff>
                    <xdr:row>31</xdr:row>
                    <xdr:rowOff>209550</xdr:rowOff>
                  </from>
                  <to>
                    <xdr:col>1</xdr:col>
                    <xdr:colOff>304800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defaultSize="0" autoFill="0" autoLine="0" autoPict="0">
                <anchor moveWithCells="1">
                  <from>
                    <xdr:col>7</xdr:col>
                    <xdr:colOff>95250</xdr:colOff>
                    <xdr:row>31</xdr:row>
                    <xdr:rowOff>209550</xdr:rowOff>
                  </from>
                  <to>
                    <xdr:col>7</xdr:col>
                    <xdr:colOff>333375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3" name="Check Box 23">
              <controlPr defaultSize="0" autoFill="0" autoLine="0" autoPict="0">
                <anchor moveWithCells="1">
                  <from>
                    <xdr:col>13</xdr:col>
                    <xdr:colOff>57150</xdr:colOff>
                    <xdr:row>31</xdr:row>
                    <xdr:rowOff>209550</xdr:rowOff>
                  </from>
                  <to>
                    <xdr:col>13</xdr:col>
                    <xdr:colOff>295275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4" name="Check Box 24">
              <controlPr defaultSize="0" autoFill="0" autoLine="0" autoPict="0">
                <anchor moveWithCells="1">
                  <from>
                    <xdr:col>1</xdr:col>
                    <xdr:colOff>66675</xdr:colOff>
                    <xdr:row>34</xdr:row>
                    <xdr:rowOff>0</xdr:rowOff>
                  </from>
                  <to>
                    <xdr:col>1</xdr:col>
                    <xdr:colOff>304800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defaultSize="0" autoFill="0" autoLine="0" autoPict="0">
                <anchor moveWithCells="1">
                  <from>
                    <xdr:col>10</xdr:col>
                    <xdr:colOff>76200</xdr:colOff>
                    <xdr:row>34</xdr:row>
                    <xdr:rowOff>0</xdr:rowOff>
                  </from>
                  <to>
                    <xdr:col>10</xdr:col>
                    <xdr:colOff>314325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6" name="Check Box 26">
              <controlPr defaultSize="0" autoFill="0" autoLine="0" autoPict="0">
                <anchor moveWithCells="1">
                  <from>
                    <xdr:col>1</xdr:col>
                    <xdr:colOff>66675</xdr:colOff>
                    <xdr:row>42</xdr:row>
                    <xdr:rowOff>219075</xdr:rowOff>
                  </from>
                  <to>
                    <xdr:col>1</xdr:col>
                    <xdr:colOff>304800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7" name="Check Box 27">
              <controlPr defaultSize="0" autoFill="0" autoLine="0" autoPict="0">
                <anchor moveWithCells="1">
                  <from>
                    <xdr:col>7</xdr:col>
                    <xdr:colOff>95250</xdr:colOff>
                    <xdr:row>42</xdr:row>
                    <xdr:rowOff>219075</xdr:rowOff>
                  </from>
                  <to>
                    <xdr:col>7</xdr:col>
                    <xdr:colOff>333375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8" name="Check Box 28">
              <controlPr defaultSize="0" autoFill="0" autoLine="0" autoPict="0">
                <anchor moveWithCells="1">
                  <from>
                    <xdr:col>13</xdr:col>
                    <xdr:colOff>57150</xdr:colOff>
                    <xdr:row>42</xdr:row>
                    <xdr:rowOff>219075</xdr:rowOff>
                  </from>
                  <to>
                    <xdr:col>13</xdr:col>
                    <xdr:colOff>295275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9" name="Check Box 29">
              <controlPr defaultSize="0" autoFill="0" autoLine="0" autoPict="0">
                <anchor moveWithCells="1">
                  <from>
                    <xdr:col>1</xdr:col>
                    <xdr:colOff>66675</xdr:colOff>
                    <xdr:row>44</xdr:row>
                    <xdr:rowOff>1209675</xdr:rowOff>
                  </from>
                  <to>
                    <xdr:col>1</xdr:col>
                    <xdr:colOff>304800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0" name="Check Box 32">
              <controlPr defaultSize="0" autoFill="0" autoLine="0" autoPict="0">
                <anchor moveWithCells="1">
                  <from>
                    <xdr:col>1</xdr:col>
                    <xdr:colOff>85725</xdr:colOff>
                    <xdr:row>52</xdr:row>
                    <xdr:rowOff>238125</xdr:rowOff>
                  </from>
                  <to>
                    <xdr:col>1</xdr:col>
                    <xdr:colOff>323850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1" name="Check Box 33">
              <controlPr defaultSize="0" autoFill="0" autoLine="0" autoPict="0">
                <anchor moveWithCells="1">
                  <from>
                    <xdr:col>7</xdr:col>
                    <xdr:colOff>104775</xdr:colOff>
                    <xdr:row>52</xdr:row>
                    <xdr:rowOff>238125</xdr:rowOff>
                  </from>
                  <to>
                    <xdr:col>7</xdr:col>
                    <xdr:colOff>342900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2" name="Check Box 34">
              <controlPr defaultSize="0" autoFill="0" autoLine="0" autoPict="0">
                <anchor moveWithCells="1">
                  <from>
                    <xdr:col>15</xdr:col>
                    <xdr:colOff>104775</xdr:colOff>
                    <xdr:row>52</xdr:row>
                    <xdr:rowOff>238125</xdr:rowOff>
                  </from>
                  <to>
                    <xdr:col>15</xdr:col>
                    <xdr:colOff>352425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3" name="Check Box 35">
              <controlPr defaultSize="0" autoFill="0" autoLine="0" autoPict="0">
                <anchor moveWithCells="1">
                  <from>
                    <xdr:col>8</xdr:col>
                    <xdr:colOff>114300</xdr:colOff>
                    <xdr:row>54</xdr:row>
                    <xdr:rowOff>161925</xdr:rowOff>
                  </from>
                  <to>
                    <xdr:col>9</xdr:col>
                    <xdr:colOff>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4" name="Check Box 36">
              <controlPr defaultSize="0" autoFill="0" autoLine="0" autoPict="0">
                <anchor moveWithCells="1">
                  <from>
                    <xdr:col>12</xdr:col>
                    <xdr:colOff>114300</xdr:colOff>
                    <xdr:row>54</xdr:row>
                    <xdr:rowOff>161925</xdr:rowOff>
                  </from>
                  <to>
                    <xdr:col>13</xdr:col>
                    <xdr:colOff>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5" name="Check Box 37">
              <controlPr defaultSize="0" autoFill="0" autoLine="0" autoPict="0">
                <anchor moveWithCells="1">
                  <from>
                    <xdr:col>1</xdr:col>
                    <xdr:colOff>104775</xdr:colOff>
                    <xdr:row>84</xdr:row>
                    <xdr:rowOff>19050</xdr:rowOff>
                  </from>
                  <to>
                    <xdr:col>1</xdr:col>
                    <xdr:colOff>342900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6" name="Check Box 38">
              <controlPr defaultSize="0" autoFill="0" autoLine="0" autoPict="0">
                <anchor moveWithCells="1">
                  <from>
                    <xdr:col>7</xdr:col>
                    <xdr:colOff>95250</xdr:colOff>
                    <xdr:row>84</xdr:row>
                    <xdr:rowOff>19050</xdr:rowOff>
                  </from>
                  <to>
                    <xdr:col>7</xdr:col>
                    <xdr:colOff>333375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7" name="Check Box 39">
              <controlPr defaultSize="0" autoFill="0" autoLine="0" autoPict="0">
                <anchor moveWithCells="1">
                  <from>
                    <xdr:col>11</xdr:col>
                    <xdr:colOff>95250</xdr:colOff>
                    <xdr:row>84</xdr:row>
                    <xdr:rowOff>19050</xdr:rowOff>
                  </from>
                  <to>
                    <xdr:col>11</xdr:col>
                    <xdr:colOff>333375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8" name="Check Box 40">
              <controlPr defaultSize="0" autoFill="0" autoLine="0" autoPict="0">
                <anchor moveWithCells="1">
                  <from>
                    <xdr:col>1</xdr:col>
                    <xdr:colOff>104775</xdr:colOff>
                    <xdr:row>84</xdr:row>
                    <xdr:rowOff>285750</xdr:rowOff>
                  </from>
                  <to>
                    <xdr:col>1</xdr:col>
                    <xdr:colOff>342900</xdr:colOff>
                    <xdr:row>85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9" name="Check Box 41">
              <controlPr defaultSize="0" autoFill="0" autoLine="0" autoPict="0">
                <anchor moveWithCells="1">
                  <from>
                    <xdr:col>7</xdr:col>
                    <xdr:colOff>95250</xdr:colOff>
                    <xdr:row>84</xdr:row>
                    <xdr:rowOff>304800</xdr:rowOff>
                  </from>
                  <to>
                    <xdr:col>7</xdr:col>
                    <xdr:colOff>333375</xdr:colOff>
                    <xdr:row>85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0" name="Check Box 42">
              <controlPr defaultSize="0" autoFill="0" autoLine="0" autoPict="0">
                <anchor moveWithCells="1">
                  <from>
                    <xdr:col>11</xdr:col>
                    <xdr:colOff>95250</xdr:colOff>
                    <xdr:row>84</xdr:row>
                    <xdr:rowOff>304800</xdr:rowOff>
                  </from>
                  <to>
                    <xdr:col>11</xdr:col>
                    <xdr:colOff>333375</xdr:colOff>
                    <xdr:row>85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1" name="Check Box 43">
              <controlPr defaultSize="0" autoFill="0" autoLine="0" autoPict="0">
                <anchor moveWithCells="1">
                  <from>
                    <xdr:col>1</xdr:col>
                    <xdr:colOff>104775</xdr:colOff>
                    <xdr:row>85</xdr:row>
                    <xdr:rowOff>285750</xdr:rowOff>
                  </from>
                  <to>
                    <xdr:col>1</xdr:col>
                    <xdr:colOff>342900</xdr:colOff>
                    <xdr:row>86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2" name="Check Box 44">
              <controlPr defaultSize="0" autoFill="0" autoLine="0" autoPict="0">
                <anchor moveWithCells="1">
                  <from>
                    <xdr:col>7</xdr:col>
                    <xdr:colOff>95250</xdr:colOff>
                    <xdr:row>85</xdr:row>
                    <xdr:rowOff>304800</xdr:rowOff>
                  </from>
                  <to>
                    <xdr:col>7</xdr:col>
                    <xdr:colOff>333375</xdr:colOff>
                    <xdr:row>86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3" name="Check Box 45">
              <controlPr defaultSize="0" autoFill="0" autoLine="0" autoPict="0">
                <anchor moveWithCells="1">
                  <from>
                    <xdr:col>11</xdr:col>
                    <xdr:colOff>95250</xdr:colOff>
                    <xdr:row>85</xdr:row>
                    <xdr:rowOff>304800</xdr:rowOff>
                  </from>
                  <to>
                    <xdr:col>11</xdr:col>
                    <xdr:colOff>333375</xdr:colOff>
                    <xdr:row>86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4" name="Check Box 46">
              <controlPr defaultSize="0" autoFill="0" autoLine="0" autoPict="0">
                <anchor moveWithCells="1">
                  <from>
                    <xdr:col>1</xdr:col>
                    <xdr:colOff>104775</xdr:colOff>
                    <xdr:row>86</xdr:row>
                    <xdr:rowOff>295275</xdr:rowOff>
                  </from>
                  <to>
                    <xdr:col>1</xdr:col>
                    <xdr:colOff>342900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5" name="Check Box 47">
              <controlPr defaultSize="0" autoFill="0" autoLine="0" autoPict="0">
                <anchor moveWithCells="1">
                  <from>
                    <xdr:col>7</xdr:col>
                    <xdr:colOff>95250</xdr:colOff>
                    <xdr:row>86</xdr:row>
                    <xdr:rowOff>295275</xdr:rowOff>
                  </from>
                  <to>
                    <xdr:col>7</xdr:col>
                    <xdr:colOff>333375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6" name="Check Box 48">
              <controlPr defaultSize="0" autoFill="0" autoLine="0" autoPict="0">
                <anchor moveWithCells="1">
                  <from>
                    <xdr:col>11</xdr:col>
                    <xdr:colOff>95250</xdr:colOff>
                    <xdr:row>86</xdr:row>
                    <xdr:rowOff>295275</xdr:rowOff>
                  </from>
                  <to>
                    <xdr:col>11</xdr:col>
                    <xdr:colOff>333375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7" name="Check Box 49">
              <controlPr defaultSize="0" autoFill="0" autoLine="0" autoPict="0">
                <anchor moveWithCells="1">
                  <from>
                    <xdr:col>1</xdr:col>
                    <xdr:colOff>104775</xdr:colOff>
                    <xdr:row>87</xdr:row>
                    <xdr:rowOff>295275</xdr:rowOff>
                  </from>
                  <to>
                    <xdr:col>1</xdr:col>
                    <xdr:colOff>342900</xdr:colOff>
                    <xdr:row>88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8" name="Check Box 50">
              <controlPr defaultSize="0" autoFill="0" autoLine="0" autoPict="0">
                <anchor moveWithCells="1">
                  <from>
                    <xdr:col>7</xdr:col>
                    <xdr:colOff>95250</xdr:colOff>
                    <xdr:row>87</xdr:row>
                    <xdr:rowOff>304800</xdr:rowOff>
                  </from>
                  <to>
                    <xdr:col>7</xdr:col>
                    <xdr:colOff>333375</xdr:colOff>
                    <xdr:row>88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9" name="Check Box 51">
              <controlPr defaultSize="0" autoFill="0" autoLine="0" autoPict="0">
                <anchor moveWithCells="1">
                  <from>
                    <xdr:col>16</xdr:col>
                    <xdr:colOff>66675</xdr:colOff>
                    <xdr:row>87</xdr:row>
                    <xdr:rowOff>276225</xdr:rowOff>
                  </from>
                  <to>
                    <xdr:col>16</xdr:col>
                    <xdr:colOff>304800</xdr:colOff>
                    <xdr:row>88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0" name="Check Box 55">
              <controlPr defaultSize="0" autoFill="0" autoLine="0" autoPict="0">
                <anchor moveWithCells="1">
                  <from>
                    <xdr:col>3</xdr:col>
                    <xdr:colOff>133350</xdr:colOff>
                    <xdr:row>91</xdr:row>
                    <xdr:rowOff>0</xdr:rowOff>
                  </from>
                  <to>
                    <xdr:col>4</xdr:col>
                    <xdr:colOff>9525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1" name="Check Box 56">
              <controlPr defaultSize="0" autoFill="0" autoLine="0" autoPict="0">
                <anchor moveWithCells="1">
                  <from>
                    <xdr:col>7</xdr:col>
                    <xdr:colOff>133350</xdr:colOff>
                    <xdr:row>91</xdr:row>
                    <xdr:rowOff>0</xdr:rowOff>
                  </from>
                  <to>
                    <xdr:col>8</xdr:col>
                    <xdr:colOff>19050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2" name="Check Box 57">
              <controlPr defaultSize="0" autoFill="0" autoLine="0" autoPict="0">
                <anchor moveWithCells="1">
                  <from>
                    <xdr:col>11</xdr:col>
                    <xdr:colOff>76200</xdr:colOff>
                    <xdr:row>91</xdr:row>
                    <xdr:rowOff>0</xdr:rowOff>
                  </from>
                  <to>
                    <xdr:col>11</xdr:col>
                    <xdr:colOff>314325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3" name="Check Box 58">
              <controlPr defaultSize="0" autoFill="0" autoLine="0" autoPict="0">
                <anchor moveWithCells="1">
                  <from>
                    <xdr:col>15</xdr:col>
                    <xdr:colOff>76200</xdr:colOff>
                    <xdr:row>91</xdr:row>
                    <xdr:rowOff>0</xdr:rowOff>
                  </from>
                  <to>
                    <xdr:col>15</xdr:col>
                    <xdr:colOff>314325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4" name="Check Box 59">
              <controlPr defaultSize="0" autoFill="0" autoLine="0" autoPict="0">
                <anchor moveWithCells="1">
                  <from>
                    <xdr:col>4</xdr:col>
                    <xdr:colOff>95250</xdr:colOff>
                    <xdr:row>91</xdr:row>
                    <xdr:rowOff>276225</xdr:rowOff>
                  </from>
                  <to>
                    <xdr:col>4</xdr:col>
                    <xdr:colOff>333375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5" name="Check Box 60">
              <controlPr defaultSize="0" autoFill="0" autoLine="0" autoPict="0">
                <anchor moveWithCells="1">
                  <from>
                    <xdr:col>7</xdr:col>
                    <xdr:colOff>104775</xdr:colOff>
                    <xdr:row>91</xdr:row>
                    <xdr:rowOff>276225</xdr:rowOff>
                  </from>
                  <to>
                    <xdr:col>7</xdr:col>
                    <xdr:colOff>342900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6" name="Check Box 61">
              <controlPr defaultSize="0" autoFill="0" autoLine="0" autoPict="0">
                <anchor moveWithCells="1">
                  <from>
                    <xdr:col>10</xdr:col>
                    <xdr:colOff>66675</xdr:colOff>
                    <xdr:row>91</xdr:row>
                    <xdr:rowOff>285750</xdr:rowOff>
                  </from>
                  <to>
                    <xdr:col>10</xdr:col>
                    <xdr:colOff>314325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7" name="Check Box 62">
              <controlPr defaultSize="0" autoFill="0" autoLine="0" autoPict="0">
                <anchor moveWithCells="1">
                  <from>
                    <xdr:col>13</xdr:col>
                    <xdr:colOff>85725</xdr:colOff>
                    <xdr:row>91</xdr:row>
                    <xdr:rowOff>276225</xdr:rowOff>
                  </from>
                  <to>
                    <xdr:col>13</xdr:col>
                    <xdr:colOff>323850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8" name="Check Box 63">
              <controlPr defaultSize="0" autoFill="0" autoLine="0" autoPict="0">
                <anchor moveWithCells="1">
                  <from>
                    <xdr:col>16</xdr:col>
                    <xdr:colOff>66675</xdr:colOff>
                    <xdr:row>91</xdr:row>
                    <xdr:rowOff>285750</xdr:rowOff>
                  </from>
                  <to>
                    <xdr:col>16</xdr:col>
                    <xdr:colOff>314325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9" name="Check Box 69">
              <controlPr defaultSize="0" autoFill="0" autoLine="0" autoPict="0">
                <anchor moveWithCells="1">
                  <from>
                    <xdr:col>4</xdr:col>
                    <xdr:colOff>66675</xdr:colOff>
                    <xdr:row>95</xdr:row>
                    <xdr:rowOff>238125</xdr:rowOff>
                  </from>
                  <to>
                    <xdr:col>4</xdr:col>
                    <xdr:colOff>304800</xdr:colOff>
                    <xdr:row>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0" name="Check Box 70">
              <controlPr defaultSize="0" autoFill="0" autoLine="0" autoPict="0">
                <anchor moveWithCells="1">
                  <from>
                    <xdr:col>7</xdr:col>
                    <xdr:colOff>66675</xdr:colOff>
                    <xdr:row>95</xdr:row>
                    <xdr:rowOff>238125</xdr:rowOff>
                  </from>
                  <to>
                    <xdr:col>7</xdr:col>
                    <xdr:colOff>314325</xdr:colOff>
                    <xdr:row>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1" name="Check Box 71">
              <controlPr defaultSize="0" autoFill="0" autoLine="0" autoPict="0">
                <anchor moveWithCells="1">
                  <from>
                    <xdr:col>10</xdr:col>
                    <xdr:colOff>142875</xdr:colOff>
                    <xdr:row>95</xdr:row>
                    <xdr:rowOff>247650</xdr:rowOff>
                  </from>
                  <to>
                    <xdr:col>11</xdr:col>
                    <xdr:colOff>38100</xdr:colOff>
                    <xdr:row>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2" name="Check Box 72">
              <controlPr defaultSize="0" autoFill="0" autoLine="0" autoPict="0">
                <anchor moveWithCells="1">
                  <from>
                    <xdr:col>12</xdr:col>
                    <xdr:colOff>152400</xdr:colOff>
                    <xdr:row>95</xdr:row>
                    <xdr:rowOff>238125</xdr:rowOff>
                  </from>
                  <to>
                    <xdr:col>13</xdr:col>
                    <xdr:colOff>47625</xdr:colOff>
                    <xdr:row>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3" name="Check Box 73">
              <controlPr defaultSize="0" autoFill="0" autoLine="0" autoPict="0">
                <anchor moveWithCells="1">
                  <from>
                    <xdr:col>14</xdr:col>
                    <xdr:colOff>323850</xdr:colOff>
                    <xdr:row>95</xdr:row>
                    <xdr:rowOff>257175</xdr:rowOff>
                  </from>
                  <to>
                    <xdr:col>15</xdr:col>
                    <xdr:colOff>219075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4" name="Check Box 79">
              <controlPr defaultSize="0" autoFill="0" autoLine="0" autoPict="0">
                <anchor moveWithCells="1">
                  <from>
                    <xdr:col>6</xdr:col>
                    <xdr:colOff>85725</xdr:colOff>
                    <xdr:row>98</xdr:row>
                    <xdr:rowOff>238125</xdr:rowOff>
                  </from>
                  <to>
                    <xdr:col>6</xdr:col>
                    <xdr:colOff>323850</xdr:colOff>
                    <xdr:row>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65" name="Check Box 80">
              <controlPr defaultSize="0" autoFill="0" autoLine="0" autoPict="0">
                <anchor moveWithCells="1">
                  <from>
                    <xdr:col>9</xdr:col>
                    <xdr:colOff>66675</xdr:colOff>
                    <xdr:row>98</xdr:row>
                    <xdr:rowOff>238125</xdr:rowOff>
                  </from>
                  <to>
                    <xdr:col>9</xdr:col>
                    <xdr:colOff>314325</xdr:colOff>
                    <xdr:row>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66" name="Check Box 83">
              <controlPr defaultSize="0" autoFill="0" autoLine="0" autoPict="0">
                <anchor moveWithCells="1">
                  <from>
                    <xdr:col>12</xdr:col>
                    <xdr:colOff>85725</xdr:colOff>
                    <xdr:row>98</xdr:row>
                    <xdr:rowOff>247650</xdr:rowOff>
                  </from>
                  <to>
                    <xdr:col>12</xdr:col>
                    <xdr:colOff>323850</xdr:colOff>
                    <xdr:row>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67" name="Check Box 84">
              <controlPr defaultSize="0" autoFill="0" autoLine="0" autoPict="0">
                <anchor moveWithCells="1">
                  <from>
                    <xdr:col>1</xdr:col>
                    <xdr:colOff>66675</xdr:colOff>
                    <xdr:row>106</xdr:row>
                    <xdr:rowOff>257175</xdr:rowOff>
                  </from>
                  <to>
                    <xdr:col>1</xdr:col>
                    <xdr:colOff>314325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68" name="Check Box 87">
              <controlPr defaultSize="0" autoFill="0" autoLine="0" autoPict="0">
                <anchor moveWithCells="1">
                  <from>
                    <xdr:col>1</xdr:col>
                    <xdr:colOff>66675</xdr:colOff>
                    <xdr:row>109</xdr:row>
                    <xdr:rowOff>19050</xdr:rowOff>
                  </from>
                  <to>
                    <xdr:col>1</xdr:col>
                    <xdr:colOff>314325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69" name="Check Box 88">
              <controlPr defaultSize="0" autoFill="0" autoLine="0" autoPict="0">
                <anchor moveWithCells="1">
                  <from>
                    <xdr:col>1</xdr:col>
                    <xdr:colOff>66675</xdr:colOff>
                    <xdr:row>111</xdr:row>
                    <xdr:rowOff>19050</xdr:rowOff>
                  </from>
                  <to>
                    <xdr:col>1</xdr:col>
                    <xdr:colOff>314325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70" name="Check Box 90">
              <controlPr defaultSize="0" autoFill="0" autoLine="0" autoPict="0">
                <anchor moveWithCells="1">
                  <from>
                    <xdr:col>1</xdr:col>
                    <xdr:colOff>66675</xdr:colOff>
                    <xdr:row>129</xdr:row>
                    <xdr:rowOff>257175</xdr:rowOff>
                  </from>
                  <to>
                    <xdr:col>1</xdr:col>
                    <xdr:colOff>304800</xdr:colOff>
                    <xdr:row>130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1" name="Check Box 91">
              <controlPr defaultSize="0" autoFill="0" autoLine="0" autoPict="0">
                <anchor moveWithCells="1">
                  <from>
                    <xdr:col>5</xdr:col>
                    <xdr:colOff>104775</xdr:colOff>
                    <xdr:row>129</xdr:row>
                    <xdr:rowOff>257175</xdr:rowOff>
                  </from>
                  <to>
                    <xdr:col>6</xdr:col>
                    <xdr:colOff>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72" name="Check Box 100">
              <controlPr defaultSize="0" autoFill="0" autoLine="0" autoPict="0">
                <anchor moveWithCells="1">
                  <from>
                    <xdr:col>5</xdr:col>
                    <xdr:colOff>123825</xdr:colOff>
                    <xdr:row>101</xdr:row>
                    <xdr:rowOff>238125</xdr:rowOff>
                  </from>
                  <to>
                    <xdr:col>6</xdr:col>
                    <xdr:colOff>0</xdr:colOff>
                    <xdr:row>102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73" name="Check Box 105">
              <controlPr defaultSize="0" autoFill="0" autoLine="0" autoPict="0">
                <anchor moveWithCells="1">
                  <from>
                    <xdr:col>1</xdr:col>
                    <xdr:colOff>123825</xdr:colOff>
                    <xdr:row>101</xdr:row>
                    <xdr:rowOff>238125</xdr:rowOff>
                  </from>
                  <to>
                    <xdr:col>2</xdr:col>
                    <xdr:colOff>0</xdr:colOff>
                    <xdr:row>102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74" name="Check Box 106">
              <controlPr defaultSize="0" autoFill="0" autoLine="0" autoPict="0">
                <anchor moveWithCells="1">
                  <from>
                    <xdr:col>5</xdr:col>
                    <xdr:colOff>123825</xdr:colOff>
                    <xdr:row>102</xdr:row>
                    <xdr:rowOff>238125</xdr:rowOff>
                  </from>
                  <to>
                    <xdr:col>6</xdr:col>
                    <xdr:colOff>0</xdr:colOff>
                    <xdr:row>103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75" name="Check Box 107">
              <controlPr defaultSize="0" autoFill="0" autoLine="0" autoPict="0">
                <anchor moveWithCells="1">
                  <from>
                    <xdr:col>1</xdr:col>
                    <xdr:colOff>123825</xdr:colOff>
                    <xdr:row>102</xdr:row>
                    <xdr:rowOff>238125</xdr:rowOff>
                  </from>
                  <to>
                    <xdr:col>2</xdr:col>
                    <xdr:colOff>0</xdr:colOff>
                    <xdr:row>103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76" name="Check Box 111">
              <controlPr defaultSize="0" autoFill="0" autoLine="0" autoPict="0">
                <anchor moveWithCells="1">
                  <from>
                    <xdr:col>6</xdr:col>
                    <xdr:colOff>85725</xdr:colOff>
                    <xdr:row>115</xdr:row>
                    <xdr:rowOff>0</xdr:rowOff>
                  </from>
                  <to>
                    <xdr:col>6</xdr:col>
                    <xdr:colOff>323850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77" name="Check Box 112">
              <controlPr defaultSize="0" autoFill="0" autoLine="0" autoPict="0">
                <anchor moveWithCells="1">
                  <from>
                    <xdr:col>11</xdr:col>
                    <xdr:colOff>133350</xdr:colOff>
                    <xdr:row>114</xdr:row>
                    <xdr:rowOff>247650</xdr:rowOff>
                  </from>
                  <to>
                    <xdr:col>12</xdr:col>
                    <xdr:colOff>28575</xdr:colOff>
                    <xdr:row>115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78" name="Check Box 115">
              <controlPr defaultSize="0" autoFill="0" autoLine="0" autoPict="0">
                <anchor moveWithCells="1">
                  <from>
                    <xdr:col>1</xdr:col>
                    <xdr:colOff>85725</xdr:colOff>
                    <xdr:row>118</xdr:row>
                    <xdr:rowOff>9525</xdr:rowOff>
                  </from>
                  <to>
                    <xdr:col>1</xdr:col>
                    <xdr:colOff>323850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79" name="Check Box 116">
              <controlPr defaultSize="0" autoFill="0" autoLine="0" autoPict="0">
                <anchor moveWithCells="1">
                  <from>
                    <xdr:col>1</xdr:col>
                    <xdr:colOff>76200</xdr:colOff>
                    <xdr:row>119</xdr:row>
                    <xdr:rowOff>0</xdr:rowOff>
                  </from>
                  <to>
                    <xdr:col>1</xdr:col>
                    <xdr:colOff>314325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80" name="Check Box 117">
              <controlPr defaultSize="0" autoFill="0" autoLine="0" autoPict="0">
                <anchor moveWithCells="1">
                  <from>
                    <xdr:col>7</xdr:col>
                    <xdr:colOff>76200</xdr:colOff>
                    <xdr:row>117</xdr:row>
                    <xdr:rowOff>314325</xdr:rowOff>
                  </from>
                  <to>
                    <xdr:col>7</xdr:col>
                    <xdr:colOff>314325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81" name="Check Box 118">
              <controlPr defaultSize="0" autoFill="0" autoLine="0" autoPict="0">
                <anchor moveWithCells="1">
                  <from>
                    <xdr:col>10</xdr:col>
                    <xdr:colOff>47625</xdr:colOff>
                    <xdr:row>117</xdr:row>
                    <xdr:rowOff>314325</xdr:rowOff>
                  </from>
                  <to>
                    <xdr:col>10</xdr:col>
                    <xdr:colOff>285750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82" name="Check Box 119">
              <controlPr defaultSize="0" autoFill="0" autoLine="0" autoPict="0">
                <anchor moveWithCells="1">
                  <from>
                    <xdr:col>13</xdr:col>
                    <xdr:colOff>76200</xdr:colOff>
                    <xdr:row>118</xdr:row>
                    <xdr:rowOff>9525</xdr:rowOff>
                  </from>
                  <to>
                    <xdr:col>13</xdr:col>
                    <xdr:colOff>314325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83" name="Check Box 121">
              <controlPr defaultSize="0" autoFill="0" autoLine="0" autoPict="0">
                <anchor moveWithCells="1">
                  <from>
                    <xdr:col>2</xdr:col>
                    <xdr:colOff>257175</xdr:colOff>
                    <xdr:row>226</xdr:row>
                    <xdr:rowOff>19050</xdr:rowOff>
                  </from>
                  <to>
                    <xdr:col>3</xdr:col>
                    <xdr:colOff>133350</xdr:colOff>
                    <xdr:row>226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84" name="Option Button 123">
              <controlPr defaultSize="0" autoFill="0" autoLine="0" autoPict="0">
                <anchor>
                  <from>
                    <xdr:col>5</xdr:col>
                    <xdr:colOff>257175</xdr:colOff>
                    <xdr:row>3</xdr:row>
                    <xdr:rowOff>161925</xdr:rowOff>
                  </from>
                  <to>
                    <xdr:col>6</xdr:col>
                    <xdr:colOff>123825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85" name="Option Button 125">
              <controlPr defaultSize="0" autoFill="0" autoLine="0" autoPict="0">
                <anchor>
                  <from>
                    <xdr:col>11</xdr:col>
                    <xdr:colOff>276225</xdr:colOff>
                    <xdr:row>3</xdr:row>
                    <xdr:rowOff>171450</xdr:rowOff>
                  </from>
                  <to>
                    <xdr:col>12</xdr:col>
                    <xdr:colOff>247650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86" name="Option Button 126">
              <controlPr defaultSize="0" autoFill="0" autoLine="0" autoPict="0">
                <anchor>
                  <from>
                    <xdr:col>18</xdr:col>
                    <xdr:colOff>285750</xdr:colOff>
                    <xdr:row>3</xdr:row>
                    <xdr:rowOff>171450</xdr:rowOff>
                  </from>
                  <to>
                    <xdr:col>19</xdr:col>
                    <xdr:colOff>219075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6664D-CA7E-472B-90EC-D8BCC08D8611}">
  <sheetPr codeName="Tabelle1"/>
  <dimension ref="A1:H133"/>
  <sheetViews>
    <sheetView workbookViewId="0">
      <selection activeCell="C2" sqref="C2"/>
    </sheetView>
  </sheetViews>
  <sheetFormatPr baseColWidth="10" defaultRowHeight="15" x14ac:dyDescent="0.25"/>
  <cols>
    <col min="1" max="1" width="34.28515625" customWidth="1"/>
    <col min="2" max="2" width="34.42578125" customWidth="1"/>
    <col min="3" max="3" width="60.85546875" customWidth="1"/>
  </cols>
  <sheetData>
    <row r="1" spans="1:4" x14ac:dyDescent="0.25">
      <c r="A1" t="s">
        <v>0</v>
      </c>
      <c r="B1" t="s">
        <v>1</v>
      </c>
      <c r="C1" t="s">
        <v>2</v>
      </c>
    </row>
    <row r="2" spans="1:4" x14ac:dyDescent="0.25">
      <c r="A2" t="s">
        <v>6</v>
      </c>
      <c r="B2" t="s">
        <v>421</v>
      </c>
      <c r="C2" t="s">
        <v>428</v>
      </c>
    </row>
    <row r="3" spans="1:4" x14ac:dyDescent="0.25">
      <c r="A3" t="s">
        <v>9</v>
      </c>
      <c r="B3" t="s">
        <v>10</v>
      </c>
      <c r="C3" t="s">
        <v>12</v>
      </c>
    </row>
    <row r="4" spans="1:4" x14ac:dyDescent="0.25">
      <c r="A4" t="s">
        <v>8</v>
      </c>
      <c r="B4" t="s">
        <v>11</v>
      </c>
      <c r="C4" t="s">
        <v>15</v>
      </c>
    </row>
    <row r="5" spans="1:4" x14ac:dyDescent="0.25">
      <c r="A5" t="s">
        <v>7</v>
      </c>
      <c r="B5" t="s">
        <v>13</v>
      </c>
      <c r="C5" t="s">
        <v>14</v>
      </c>
    </row>
    <row r="6" spans="1:4" x14ac:dyDescent="0.25">
      <c r="A6" t="s">
        <v>16</v>
      </c>
      <c r="B6" t="s">
        <v>17</v>
      </c>
      <c r="C6" t="s">
        <v>18</v>
      </c>
    </row>
    <row r="7" spans="1:4" x14ac:dyDescent="0.25">
      <c r="A7" t="s">
        <v>19</v>
      </c>
      <c r="B7" t="s">
        <v>20</v>
      </c>
      <c r="C7" t="s">
        <v>21</v>
      </c>
    </row>
    <row r="8" spans="1:4" x14ac:dyDescent="0.25">
      <c r="A8" t="s">
        <v>22</v>
      </c>
      <c r="B8" t="s">
        <v>23</v>
      </c>
      <c r="C8" t="s">
        <v>24</v>
      </c>
    </row>
    <row r="9" spans="1:4" x14ac:dyDescent="0.25">
      <c r="A9" t="s">
        <v>25</v>
      </c>
      <c r="B9" t="s">
        <v>26</v>
      </c>
      <c r="C9" t="s">
        <v>26</v>
      </c>
    </row>
    <row r="10" spans="1:4" x14ac:dyDescent="0.25">
      <c r="A10" t="s">
        <v>27</v>
      </c>
      <c r="B10" t="s">
        <v>28</v>
      </c>
      <c r="C10" t="s">
        <v>29</v>
      </c>
    </row>
    <row r="11" spans="1:4" x14ac:dyDescent="0.25">
      <c r="A11" t="s">
        <v>30</v>
      </c>
      <c r="B11" t="s">
        <v>31</v>
      </c>
      <c r="C11" t="s">
        <v>32</v>
      </c>
    </row>
    <row r="12" spans="1:4" ht="60" x14ac:dyDescent="0.25">
      <c r="A12" s="1" t="s">
        <v>33</v>
      </c>
      <c r="B12" s="1" t="s">
        <v>35</v>
      </c>
      <c r="C12" s="1" t="s">
        <v>34</v>
      </c>
    </row>
    <row r="13" spans="1:4" x14ac:dyDescent="0.25">
      <c r="A13" s="9" t="s">
        <v>42</v>
      </c>
      <c r="B13" t="s">
        <v>163</v>
      </c>
      <c r="C13" t="s">
        <v>161</v>
      </c>
      <c r="D13" t="s">
        <v>341</v>
      </c>
    </row>
    <row r="14" spans="1:4" x14ac:dyDescent="0.25">
      <c r="A14" t="s">
        <v>36</v>
      </c>
      <c r="B14" t="s">
        <v>38</v>
      </c>
      <c r="C14" t="s">
        <v>162</v>
      </c>
    </row>
    <row r="15" spans="1:4" x14ac:dyDescent="0.25">
      <c r="A15" t="s">
        <v>37</v>
      </c>
      <c r="B15" t="s">
        <v>39</v>
      </c>
      <c r="C15" t="s">
        <v>164</v>
      </c>
    </row>
    <row r="16" spans="1:4" x14ac:dyDescent="0.25">
      <c r="A16" s="9" t="s">
        <v>40</v>
      </c>
      <c r="B16" t="s">
        <v>40</v>
      </c>
      <c r="C16" t="s">
        <v>165</v>
      </c>
      <c r="D16" t="s">
        <v>346</v>
      </c>
    </row>
    <row r="17" spans="1:3" ht="15.75" x14ac:dyDescent="0.25">
      <c r="A17" s="6" t="s">
        <v>42</v>
      </c>
    </row>
    <row r="18" spans="1:3" ht="16.5" x14ac:dyDescent="0.3">
      <c r="A18" s="2" t="s">
        <v>46</v>
      </c>
      <c r="B18" t="s">
        <v>50</v>
      </c>
      <c r="C18" t="s">
        <v>166</v>
      </c>
    </row>
    <row r="19" spans="1:3" x14ac:dyDescent="0.25">
      <c r="A19" t="s">
        <v>47</v>
      </c>
      <c r="B19" t="s">
        <v>51</v>
      </c>
      <c r="C19" t="s">
        <v>167</v>
      </c>
    </row>
    <row r="20" spans="1:3" x14ac:dyDescent="0.25">
      <c r="A20" t="s">
        <v>48</v>
      </c>
      <c r="B20" t="s">
        <v>52</v>
      </c>
      <c r="C20" t="s">
        <v>168</v>
      </c>
    </row>
    <row r="21" spans="1:3" x14ac:dyDescent="0.25">
      <c r="A21" t="s">
        <v>49</v>
      </c>
      <c r="B21" t="s">
        <v>53</v>
      </c>
      <c r="C21" t="s">
        <v>169</v>
      </c>
    </row>
    <row r="22" spans="1:3" x14ac:dyDescent="0.25">
      <c r="A22" t="s">
        <v>64</v>
      </c>
      <c r="B22" t="s">
        <v>183</v>
      </c>
      <c r="C22" t="s">
        <v>170</v>
      </c>
    </row>
    <row r="23" spans="1:3" x14ac:dyDescent="0.25">
      <c r="A23" t="s">
        <v>54</v>
      </c>
      <c r="B23" t="s">
        <v>184</v>
      </c>
      <c r="C23" t="s">
        <v>171</v>
      </c>
    </row>
    <row r="24" spans="1:3" x14ac:dyDescent="0.25">
      <c r="A24" t="s">
        <v>55</v>
      </c>
      <c r="B24" t="s">
        <v>185</v>
      </c>
      <c r="C24" t="s">
        <v>172</v>
      </c>
    </row>
    <row r="25" spans="1:3" x14ac:dyDescent="0.25">
      <c r="A25" t="s">
        <v>56</v>
      </c>
      <c r="B25" t="s">
        <v>186</v>
      </c>
      <c r="C25" t="s">
        <v>173</v>
      </c>
    </row>
    <row r="26" spans="1:3" ht="16.5" x14ac:dyDescent="0.3">
      <c r="A26" s="2" t="s">
        <v>58</v>
      </c>
      <c r="B26" s="2" t="s">
        <v>187</v>
      </c>
      <c r="C26" t="s">
        <v>174</v>
      </c>
    </row>
    <row r="27" spans="1:3" x14ac:dyDescent="0.25">
      <c r="A27" t="s">
        <v>57</v>
      </c>
      <c r="B27" t="s">
        <v>188</v>
      </c>
      <c r="C27" t="s">
        <v>175</v>
      </c>
    </row>
    <row r="28" spans="1:3" ht="16.5" x14ac:dyDescent="0.3">
      <c r="A28" t="s">
        <v>54</v>
      </c>
      <c r="B28" s="2" t="s">
        <v>189</v>
      </c>
      <c r="C28" t="s">
        <v>176</v>
      </c>
    </row>
    <row r="29" spans="1:3" ht="16.5" x14ac:dyDescent="0.3">
      <c r="A29" t="s">
        <v>59</v>
      </c>
      <c r="B29" t="s">
        <v>190</v>
      </c>
      <c r="C29" s="2" t="s">
        <v>177</v>
      </c>
    </row>
    <row r="30" spans="1:3" ht="16.5" x14ac:dyDescent="0.3">
      <c r="A30" t="s">
        <v>60</v>
      </c>
      <c r="B30" s="2" t="s">
        <v>191</v>
      </c>
      <c r="C30" s="2" t="s">
        <v>178</v>
      </c>
    </row>
    <row r="31" spans="1:3" x14ac:dyDescent="0.25">
      <c r="A31" s="3" t="s">
        <v>61</v>
      </c>
      <c r="B31" s="3" t="s">
        <v>193</v>
      </c>
      <c r="C31" t="s">
        <v>179</v>
      </c>
    </row>
    <row r="32" spans="1:3" ht="16.5" x14ac:dyDescent="0.3">
      <c r="A32" t="s">
        <v>62</v>
      </c>
      <c r="B32" s="2" t="s">
        <v>192</v>
      </c>
      <c r="C32" s="2" t="s">
        <v>180</v>
      </c>
    </row>
    <row r="33" spans="1:4" ht="60" x14ac:dyDescent="0.25">
      <c r="A33" s="1" t="s">
        <v>63</v>
      </c>
      <c r="B33" s="1" t="s">
        <v>194</v>
      </c>
      <c r="C33" s="8" t="s">
        <v>181</v>
      </c>
    </row>
    <row r="34" spans="1:4" ht="15.75" x14ac:dyDescent="0.3">
      <c r="A34" s="4" t="s">
        <v>65</v>
      </c>
      <c r="B34" t="s">
        <v>195</v>
      </c>
      <c r="C34" s="4" t="s">
        <v>182</v>
      </c>
    </row>
    <row r="35" spans="1:4" x14ac:dyDescent="0.25">
      <c r="A35" s="9" t="s">
        <v>68</v>
      </c>
      <c r="B35" t="s">
        <v>69</v>
      </c>
      <c r="C35" t="s">
        <v>69</v>
      </c>
      <c r="D35" t="s">
        <v>342</v>
      </c>
    </row>
    <row r="36" spans="1:4" ht="16.5" x14ac:dyDescent="0.3">
      <c r="A36" s="2" t="s">
        <v>70</v>
      </c>
      <c r="B36" t="s">
        <v>196</v>
      </c>
      <c r="C36" t="s">
        <v>207</v>
      </c>
    </row>
    <row r="37" spans="1:4" x14ac:dyDescent="0.25">
      <c r="A37" t="s">
        <v>71</v>
      </c>
      <c r="B37" t="s">
        <v>197</v>
      </c>
      <c r="C37" t="s">
        <v>208</v>
      </c>
    </row>
    <row r="38" spans="1:4" ht="18" x14ac:dyDescent="0.35">
      <c r="A38" s="2" t="s">
        <v>72</v>
      </c>
      <c r="B38" t="s">
        <v>198</v>
      </c>
      <c r="C38" s="10" t="s">
        <v>209</v>
      </c>
    </row>
    <row r="39" spans="1:4" ht="18" x14ac:dyDescent="0.35">
      <c r="A39" t="s">
        <v>73</v>
      </c>
      <c r="B39" t="s">
        <v>199</v>
      </c>
      <c r="C39" s="10" t="s">
        <v>210</v>
      </c>
    </row>
    <row r="40" spans="1:4" ht="16.5" x14ac:dyDescent="0.3">
      <c r="A40" s="2" t="s">
        <v>74</v>
      </c>
      <c r="B40" s="2" t="s">
        <v>200</v>
      </c>
      <c r="C40" t="s">
        <v>211</v>
      </c>
    </row>
    <row r="41" spans="1:4" ht="15.75" x14ac:dyDescent="0.3">
      <c r="A41" t="s">
        <v>75</v>
      </c>
      <c r="B41" s="4" t="s">
        <v>201</v>
      </c>
      <c r="C41" t="s">
        <v>212</v>
      </c>
      <c r="D41" t="s">
        <v>347</v>
      </c>
    </row>
    <row r="42" spans="1:4" ht="16.5" x14ac:dyDescent="0.3">
      <c r="A42" s="5" t="s">
        <v>202</v>
      </c>
      <c r="B42" s="5" t="s">
        <v>203</v>
      </c>
      <c r="C42" t="s">
        <v>213</v>
      </c>
    </row>
    <row r="43" spans="1:4" ht="16.5" x14ac:dyDescent="0.3">
      <c r="A43" s="2" t="s">
        <v>77</v>
      </c>
      <c r="B43" s="2" t="s">
        <v>204</v>
      </c>
      <c r="C43" t="s">
        <v>214</v>
      </c>
    </row>
    <row r="44" spans="1:4" x14ac:dyDescent="0.25">
      <c r="A44" t="s">
        <v>78</v>
      </c>
      <c r="B44" t="s">
        <v>205</v>
      </c>
      <c r="C44" t="s">
        <v>215</v>
      </c>
    </row>
    <row r="45" spans="1:4" ht="16.5" x14ac:dyDescent="0.3">
      <c r="A45" s="2" t="s">
        <v>79</v>
      </c>
      <c r="B45" s="2" t="s">
        <v>206</v>
      </c>
      <c r="C45" t="s">
        <v>216</v>
      </c>
    </row>
    <row r="46" spans="1:4" ht="16.5" x14ac:dyDescent="0.3">
      <c r="A46" s="2" t="s">
        <v>84</v>
      </c>
      <c r="B46" t="s">
        <v>228</v>
      </c>
      <c r="C46" s="11" t="s">
        <v>218</v>
      </c>
      <c r="D46" t="s">
        <v>339</v>
      </c>
    </row>
    <row r="47" spans="1:4" ht="16.5" x14ac:dyDescent="0.3">
      <c r="A47" s="2" t="s">
        <v>83</v>
      </c>
      <c r="B47" s="11" t="s">
        <v>229</v>
      </c>
      <c r="C47" t="s">
        <v>219</v>
      </c>
    </row>
    <row r="48" spans="1:4" ht="16.5" x14ac:dyDescent="0.3">
      <c r="A48" s="5" t="s">
        <v>87</v>
      </c>
      <c r="B48" s="5" t="s">
        <v>230</v>
      </c>
      <c r="C48" t="s">
        <v>220</v>
      </c>
      <c r="D48" t="s">
        <v>340</v>
      </c>
    </row>
    <row r="49" spans="1:4" ht="16.5" x14ac:dyDescent="0.3">
      <c r="A49" s="2" t="s">
        <v>88</v>
      </c>
      <c r="B49" t="s">
        <v>231</v>
      </c>
      <c r="C49" s="2" t="s">
        <v>217</v>
      </c>
    </row>
    <row r="50" spans="1:4" ht="16.5" x14ac:dyDescent="0.3">
      <c r="A50" s="2" t="s">
        <v>89</v>
      </c>
      <c r="B50" t="s">
        <v>89</v>
      </c>
      <c r="C50" t="s">
        <v>221</v>
      </c>
    </row>
    <row r="51" spans="1:4" ht="16.5" x14ac:dyDescent="0.3">
      <c r="A51" s="2" t="s">
        <v>90</v>
      </c>
      <c r="B51" t="s">
        <v>232</v>
      </c>
      <c r="C51" s="2" t="s">
        <v>222</v>
      </c>
    </row>
    <row r="52" spans="1:4" ht="16.5" x14ac:dyDescent="0.3">
      <c r="A52" s="2" t="s">
        <v>91</v>
      </c>
      <c r="B52" s="2" t="s">
        <v>233</v>
      </c>
      <c r="C52" s="2" t="s">
        <v>223</v>
      </c>
    </row>
    <row r="53" spans="1:4" ht="16.5" x14ac:dyDescent="0.3">
      <c r="A53" s="2" t="s">
        <v>92</v>
      </c>
      <c r="B53" s="2" t="s">
        <v>234</v>
      </c>
      <c r="C53" t="s">
        <v>224</v>
      </c>
    </row>
    <row r="54" spans="1:4" ht="16.5" x14ac:dyDescent="0.3">
      <c r="A54" s="2" t="s">
        <v>93</v>
      </c>
      <c r="B54" t="s">
        <v>235</v>
      </c>
      <c r="C54" t="s">
        <v>225</v>
      </c>
    </row>
    <row r="55" spans="1:4" ht="30.75" x14ac:dyDescent="0.3">
      <c r="A55" s="1" t="s">
        <v>94</v>
      </c>
      <c r="B55" s="4" t="s">
        <v>236</v>
      </c>
      <c r="C55" s="1" t="s">
        <v>226</v>
      </c>
    </row>
    <row r="56" spans="1:4" ht="16.5" x14ac:dyDescent="0.3">
      <c r="A56" s="2" t="s">
        <v>97</v>
      </c>
      <c r="B56" s="4" t="s">
        <v>237</v>
      </c>
      <c r="C56" s="4" t="s">
        <v>251</v>
      </c>
    </row>
    <row r="57" spans="1:4" ht="16.5" x14ac:dyDescent="0.3">
      <c r="A57" s="2" t="s">
        <v>98</v>
      </c>
      <c r="B57" t="s">
        <v>238</v>
      </c>
      <c r="C57" s="2" t="s">
        <v>252</v>
      </c>
    </row>
    <row r="58" spans="1:4" ht="16.5" x14ac:dyDescent="0.3">
      <c r="A58" s="2" t="s">
        <v>99</v>
      </c>
      <c r="B58" t="s">
        <v>239</v>
      </c>
      <c r="C58" t="s">
        <v>253</v>
      </c>
    </row>
    <row r="59" spans="1:4" ht="16.5" x14ac:dyDescent="0.3">
      <c r="A59" s="5" t="s">
        <v>115</v>
      </c>
      <c r="B59" t="s">
        <v>241</v>
      </c>
      <c r="C59" t="s">
        <v>254</v>
      </c>
      <c r="D59" t="s">
        <v>344</v>
      </c>
    </row>
    <row r="60" spans="1:4" ht="16.5" x14ac:dyDescent="0.3">
      <c r="A60" s="5" t="s">
        <v>106</v>
      </c>
      <c r="B60" t="s">
        <v>240</v>
      </c>
      <c r="C60" t="s">
        <v>255</v>
      </c>
    </row>
    <row r="61" spans="1:4" ht="16.5" x14ac:dyDescent="0.3">
      <c r="A61" s="2" t="s">
        <v>107</v>
      </c>
      <c r="B61" t="s">
        <v>242</v>
      </c>
      <c r="C61" s="2" t="s">
        <v>256</v>
      </c>
    </row>
    <row r="62" spans="1:4" ht="16.5" x14ac:dyDescent="0.3">
      <c r="A62" s="2" t="s">
        <v>108</v>
      </c>
      <c r="B62" t="s">
        <v>243</v>
      </c>
      <c r="C62" t="s">
        <v>257</v>
      </c>
    </row>
    <row r="63" spans="1:4" ht="16.5" x14ac:dyDescent="0.3">
      <c r="A63" s="2" t="s">
        <v>109</v>
      </c>
      <c r="B63" s="2" t="s">
        <v>244</v>
      </c>
      <c r="C63" t="s">
        <v>258</v>
      </c>
    </row>
    <row r="64" spans="1:4" ht="16.5" x14ac:dyDescent="0.3">
      <c r="A64" s="2" t="s">
        <v>110</v>
      </c>
      <c r="B64" s="2" t="s">
        <v>245</v>
      </c>
      <c r="C64" t="s">
        <v>259</v>
      </c>
    </row>
    <row r="65" spans="1:4" ht="16.5" x14ac:dyDescent="0.3">
      <c r="A65" s="2" t="s">
        <v>419</v>
      </c>
      <c r="B65" s="2" t="s">
        <v>246</v>
      </c>
      <c r="C65" s="2" t="s">
        <v>260</v>
      </c>
    </row>
    <row r="66" spans="1:4" ht="16.5" x14ac:dyDescent="0.3">
      <c r="A66" s="2" t="s">
        <v>112</v>
      </c>
      <c r="B66" s="2" t="s">
        <v>247</v>
      </c>
      <c r="C66" t="s">
        <v>261</v>
      </c>
    </row>
    <row r="67" spans="1:4" ht="16.5" x14ac:dyDescent="0.3">
      <c r="A67" s="2" t="s">
        <v>111</v>
      </c>
      <c r="B67" s="2" t="s">
        <v>248</v>
      </c>
      <c r="C67" t="s">
        <v>248</v>
      </c>
    </row>
    <row r="68" spans="1:4" ht="16.5" x14ac:dyDescent="0.3">
      <c r="A68" s="2" t="s">
        <v>113</v>
      </c>
      <c r="B68" s="2" t="s">
        <v>249</v>
      </c>
      <c r="C68" t="s">
        <v>264</v>
      </c>
    </row>
    <row r="69" spans="1:4" ht="16.5" x14ac:dyDescent="0.3">
      <c r="A69" s="2" t="s">
        <v>116</v>
      </c>
      <c r="B69" s="2" t="s">
        <v>250</v>
      </c>
      <c r="C69" t="s">
        <v>265</v>
      </c>
    </row>
    <row r="70" spans="1:4" ht="16.5" x14ac:dyDescent="0.3">
      <c r="A70" s="5" t="s">
        <v>117</v>
      </c>
      <c r="B70" s="2" t="s">
        <v>349</v>
      </c>
      <c r="C70" t="s">
        <v>266</v>
      </c>
      <c r="D70" t="s">
        <v>338</v>
      </c>
    </row>
    <row r="71" spans="1:4" ht="16.5" x14ac:dyDescent="0.3">
      <c r="A71" s="2" t="s">
        <v>118</v>
      </c>
      <c r="B71" s="2" t="s">
        <v>118</v>
      </c>
      <c r="C71" t="s">
        <v>267</v>
      </c>
    </row>
    <row r="72" spans="1:4" ht="16.5" x14ac:dyDescent="0.3">
      <c r="A72" s="2" t="s">
        <v>120</v>
      </c>
      <c r="B72" s="2" t="s">
        <v>350</v>
      </c>
      <c r="C72" t="s">
        <v>268</v>
      </c>
    </row>
    <row r="73" spans="1:4" ht="16.5" x14ac:dyDescent="0.3">
      <c r="A73" s="2" t="s">
        <v>119</v>
      </c>
      <c r="B73" s="2" t="s">
        <v>351</v>
      </c>
      <c r="C73" t="s">
        <v>269</v>
      </c>
    </row>
    <row r="74" spans="1:4" ht="16.5" x14ac:dyDescent="0.3">
      <c r="A74" s="2" t="s">
        <v>121</v>
      </c>
      <c r="B74" s="2" t="s">
        <v>352</v>
      </c>
      <c r="C74" t="s">
        <v>270</v>
      </c>
    </row>
    <row r="75" spans="1:4" ht="16.5" x14ac:dyDescent="0.3">
      <c r="A75" s="2" t="s">
        <v>49</v>
      </c>
      <c r="B75" s="2" t="s">
        <v>353</v>
      </c>
      <c r="C75" s="2" t="s">
        <v>169</v>
      </c>
    </row>
    <row r="76" spans="1:4" ht="16.5" x14ac:dyDescent="0.3">
      <c r="A76" s="2" t="s">
        <v>122</v>
      </c>
      <c r="B76" s="2" t="s">
        <v>354</v>
      </c>
      <c r="C76" t="s">
        <v>271</v>
      </c>
    </row>
    <row r="77" spans="1:4" ht="16.5" x14ac:dyDescent="0.3">
      <c r="A77" s="2" t="s">
        <v>123</v>
      </c>
      <c r="B77" s="2" t="s">
        <v>355</v>
      </c>
      <c r="C77" t="s">
        <v>272</v>
      </c>
    </row>
    <row r="78" spans="1:4" ht="16.5" x14ac:dyDescent="0.3">
      <c r="A78" s="2" t="s">
        <v>124</v>
      </c>
      <c r="B78" s="2" t="s">
        <v>356</v>
      </c>
      <c r="C78" t="s">
        <v>273</v>
      </c>
    </row>
    <row r="79" spans="1:4" ht="16.5" x14ac:dyDescent="0.3">
      <c r="A79" s="2" t="s">
        <v>130</v>
      </c>
      <c r="B79" s="2" t="s">
        <v>353</v>
      </c>
      <c r="C79" t="s">
        <v>274</v>
      </c>
    </row>
    <row r="80" spans="1:4" ht="16.5" x14ac:dyDescent="0.3">
      <c r="A80" s="5" t="s">
        <v>132</v>
      </c>
      <c r="B80" s="2" t="s">
        <v>357</v>
      </c>
      <c r="C80" s="5" t="s">
        <v>275</v>
      </c>
      <c r="D80" t="s">
        <v>337</v>
      </c>
    </row>
    <row r="81" spans="1:4" ht="16.5" x14ac:dyDescent="0.3">
      <c r="A81" s="2" t="s">
        <v>133</v>
      </c>
      <c r="B81" s="2" t="s">
        <v>422</v>
      </c>
      <c r="C81" s="2" t="s">
        <v>276</v>
      </c>
    </row>
    <row r="82" spans="1:4" ht="16.5" x14ac:dyDescent="0.3">
      <c r="A82" s="2" t="s">
        <v>134</v>
      </c>
      <c r="B82" s="2" t="s">
        <v>359</v>
      </c>
      <c r="C82" t="s">
        <v>277</v>
      </c>
    </row>
    <row r="83" spans="1:4" ht="16.5" x14ac:dyDescent="0.3">
      <c r="A83" s="2" t="s">
        <v>135</v>
      </c>
      <c r="B83" s="2" t="s">
        <v>423</v>
      </c>
      <c r="C83" t="s">
        <v>278</v>
      </c>
    </row>
    <row r="84" spans="1:4" ht="16.5" x14ac:dyDescent="0.3">
      <c r="A84" s="2" t="s">
        <v>136</v>
      </c>
      <c r="B84" s="2" t="s">
        <v>424</v>
      </c>
      <c r="C84" t="s">
        <v>279</v>
      </c>
    </row>
    <row r="85" spans="1:4" ht="16.5" x14ac:dyDescent="0.3">
      <c r="A85" s="2" t="s">
        <v>137</v>
      </c>
      <c r="B85" s="2" t="s">
        <v>360</v>
      </c>
      <c r="C85" s="2" t="s">
        <v>280</v>
      </c>
    </row>
    <row r="86" spans="1:4" ht="16.5" x14ac:dyDescent="0.3">
      <c r="A86" s="7" t="s">
        <v>139</v>
      </c>
      <c r="B86" s="2" t="s">
        <v>361</v>
      </c>
      <c r="C86" t="s">
        <v>281</v>
      </c>
      <c r="D86" t="s">
        <v>348</v>
      </c>
    </row>
    <row r="87" spans="1:4" ht="16.5" x14ac:dyDescent="0.3">
      <c r="A87" s="2" t="s">
        <v>140</v>
      </c>
      <c r="B87" s="2" t="s">
        <v>362</v>
      </c>
      <c r="C87" t="s">
        <v>282</v>
      </c>
    </row>
    <row r="88" spans="1:4" ht="16.5" x14ac:dyDescent="0.3">
      <c r="A88" s="2" t="s">
        <v>141</v>
      </c>
      <c r="B88" s="2" t="s">
        <v>358</v>
      </c>
      <c r="C88" t="s">
        <v>283</v>
      </c>
    </row>
    <row r="89" spans="1:4" ht="16.5" x14ac:dyDescent="0.3">
      <c r="A89" s="2" t="s">
        <v>142</v>
      </c>
      <c r="B89" t="s">
        <v>284</v>
      </c>
      <c r="C89" t="s">
        <v>284</v>
      </c>
    </row>
    <row r="90" spans="1:4" ht="16.5" x14ac:dyDescent="0.3">
      <c r="A90" s="2" t="s">
        <v>143</v>
      </c>
      <c r="B90" s="2" t="s">
        <v>363</v>
      </c>
      <c r="C90" s="2" t="s">
        <v>285</v>
      </c>
    </row>
    <row r="91" spans="1:4" ht="16.5" x14ac:dyDescent="0.3">
      <c r="A91" s="2" t="s">
        <v>49</v>
      </c>
      <c r="B91" s="2" t="s">
        <v>353</v>
      </c>
      <c r="C91" s="2" t="s">
        <v>169</v>
      </c>
    </row>
    <row r="92" spans="1:4" ht="16.5" x14ac:dyDescent="0.3">
      <c r="A92" s="5" t="s">
        <v>145</v>
      </c>
      <c r="B92" s="2" t="s">
        <v>364</v>
      </c>
      <c r="C92" t="s">
        <v>286</v>
      </c>
      <c r="D92" t="s">
        <v>336</v>
      </c>
    </row>
    <row r="93" spans="1:4" ht="16.5" x14ac:dyDescent="0.3">
      <c r="A93" s="2" t="s">
        <v>146</v>
      </c>
      <c r="B93" s="2" t="s">
        <v>365</v>
      </c>
      <c r="C93" t="s">
        <v>287</v>
      </c>
    </row>
    <row r="94" spans="1:4" ht="16.5" x14ac:dyDescent="0.3">
      <c r="A94" s="2" t="s">
        <v>147</v>
      </c>
      <c r="B94" s="2" t="s">
        <v>366</v>
      </c>
      <c r="C94" s="4" t="s">
        <v>288</v>
      </c>
    </row>
    <row r="95" spans="1:4" ht="16.5" x14ac:dyDescent="0.3">
      <c r="A95" s="2" t="s">
        <v>148</v>
      </c>
      <c r="B95" s="2" t="s">
        <v>367</v>
      </c>
      <c r="C95" t="s">
        <v>289</v>
      </c>
    </row>
    <row r="96" spans="1:4" ht="16.5" x14ac:dyDescent="0.3">
      <c r="A96" s="2" t="s">
        <v>149</v>
      </c>
      <c r="B96" s="2" t="s">
        <v>368</v>
      </c>
      <c r="C96" t="s">
        <v>290</v>
      </c>
    </row>
    <row r="97" spans="1:4" ht="16.5" x14ac:dyDescent="0.3">
      <c r="A97" s="2" t="s">
        <v>150</v>
      </c>
      <c r="B97" s="2" t="s">
        <v>369</v>
      </c>
      <c r="C97" t="s">
        <v>291</v>
      </c>
    </row>
    <row r="98" spans="1:4" ht="16.5" x14ac:dyDescent="0.3">
      <c r="A98" s="2" t="s">
        <v>151</v>
      </c>
      <c r="B98" s="2" t="s">
        <v>370</v>
      </c>
      <c r="C98" t="s">
        <v>292</v>
      </c>
    </row>
    <row r="99" spans="1:4" ht="16.5" x14ac:dyDescent="0.3">
      <c r="A99" s="5" t="s">
        <v>153</v>
      </c>
      <c r="B99" s="2" t="s">
        <v>371</v>
      </c>
      <c r="C99" t="s">
        <v>293</v>
      </c>
      <c r="D99" t="s">
        <v>335</v>
      </c>
    </row>
    <row r="100" spans="1:4" ht="16.5" x14ac:dyDescent="0.3">
      <c r="A100" s="2" t="s">
        <v>154</v>
      </c>
      <c r="B100" s="2" t="s">
        <v>372</v>
      </c>
      <c r="C100" t="s">
        <v>294</v>
      </c>
    </row>
    <row r="101" spans="1:4" ht="16.5" x14ac:dyDescent="0.3">
      <c r="A101" s="5" t="s">
        <v>155</v>
      </c>
      <c r="B101" s="5" t="s">
        <v>373</v>
      </c>
      <c r="C101" t="s">
        <v>295</v>
      </c>
      <c r="D101" t="s">
        <v>345</v>
      </c>
    </row>
    <row r="102" spans="1:4" ht="16.5" x14ac:dyDescent="0.3">
      <c r="A102" s="2" t="s">
        <v>156</v>
      </c>
      <c r="B102" s="2" t="s">
        <v>374</v>
      </c>
      <c r="C102" t="s">
        <v>296</v>
      </c>
    </row>
    <row r="103" spans="1:4" ht="16.5" x14ac:dyDescent="0.3">
      <c r="A103" s="2" t="s">
        <v>157</v>
      </c>
      <c r="B103" s="2" t="s">
        <v>375</v>
      </c>
      <c r="C103" t="s">
        <v>297</v>
      </c>
    </row>
    <row r="104" spans="1:4" ht="16.5" x14ac:dyDescent="0.3">
      <c r="A104" s="5" t="s">
        <v>160</v>
      </c>
      <c r="B104" s="2" t="s">
        <v>376</v>
      </c>
      <c r="C104" t="s">
        <v>298</v>
      </c>
      <c r="D104" t="s">
        <v>343</v>
      </c>
    </row>
    <row r="105" spans="1:4" ht="16.5" x14ac:dyDescent="0.3">
      <c r="A105" s="5" t="s">
        <v>82</v>
      </c>
      <c r="B105" t="s">
        <v>227</v>
      </c>
      <c r="C105" s="5" t="s">
        <v>217</v>
      </c>
    </row>
    <row r="106" spans="1:4" ht="16.5" x14ac:dyDescent="0.3">
      <c r="A106" s="2" t="s">
        <v>420</v>
      </c>
      <c r="B106" t="s">
        <v>263</v>
      </c>
      <c r="C106" t="s">
        <v>262</v>
      </c>
    </row>
    <row r="107" spans="1:4" ht="16.5" x14ac:dyDescent="0.3">
      <c r="A107" s="5" t="s">
        <v>310</v>
      </c>
      <c r="B107" s="2" t="s">
        <v>377</v>
      </c>
      <c r="C107" s="2" t="s">
        <v>319</v>
      </c>
      <c r="D107" t="s">
        <v>324</v>
      </c>
    </row>
    <row r="108" spans="1:4" ht="16.5" x14ac:dyDescent="0.3">
      <c r="A108" s="2" t="s">
        <v>311</v>
      </c>
      <c r="B108" s="2" t="s">
        <v>318</v>
      </c>
      <c r="C108" s="2" t="s">
        <v>318</v>
      </c>
    </row>
    <row r="109" spans="1:4" ht="16.5" x14ac:dyDescent="0.3">
      <c r="A109" s="2" t="s">
        <v>312</v>
      </c>
      <c r="B109" s="2" t="s">
        <v>378</v>
      </c>
      <c r="C109" t="s">
        <v>320</v>
      </c>
    </row>
    <row r="110" spans="1:4" ht="16.5" x14ac:dyDescent="0.3">
      <c r="A110" s="2" t="s">
        <v>313</v>
      </c>
      <c r="B110" s="2" t="s">
        <v>379</v>
      </c>
      <c r="C110" t="s">
        <v>321</v>
      </c>
    </row>
    <row r="111" spans="1:4" ht="16.5" x14ac:dyDescent="0.3">
      <c r="A111" s="2" t="s">
        <v>314</v>
      </c>
      <c r="B111" s="2" t="s">
        <v>380</v>
      </c>
      <c r="C111" t="s">
        <v>322</v>
      </c>
    </row>
    <row r="112" spans="1:4" ht="16.5" x14ac:dyDescent="0.3">
      <c r="A112" s="2" t="s">
        <v>315</v>
      </c>
      <c r="B112" s="2" t="s">
        <v>381</v>
      </c>
      <c r="C112" t="s">
        <v>323</v>
      </c>
    </row>
    <row r="113" spans="1:8" ht="16.5" x14ac:dyDescent="0.3">
      <c r="A113" s="5" t="s">
        <v>299</v>
      </c>
      <c r="B113" s="2" t="s">
        <v>382</v>
      </c>
      <c r="C113" t="s">
        <v>316</v>
      </c>
      <c r="D113" t="s">
        <v>317</v>
      </c>
    </row>
    <row r="114" spans="1:8" ht="16.5" x14ac:dyDescent="0.3">
      <c r="A114" s="12" t="s">
        <v>425</v>
      </c>
      <c r="B114" s="2" t="s">
        <v>426</v>
      </c>
      <c r="C114" t="s">
        <v>427</v>
      </c>
    </row>
    <row r="115" spans="1:8" ht="16.5" x14ac:dyDescent="0.3">
      <c r="A115" s="12" t="s">
        <v>300</v>
      </c>
      <c r="B115" s="2" t="s">
        <v>383</v>
      </c>
      <c r="C115" t="s">
        <v>325</v>
      </c>
    </row>
    <row r="116" spans="1:8" ht="16.5" x14ac:dyDescent="0.3">
      <c r="A116" s="2" t="s">
        <v>301</v>
      </c>
      <c r="B116" s="2" t="s">
        <v>384</v>
      </c>
      <c r="C116" t="s">
        <v>326</v>
      </c>
    </row>
    <row r="117" spans="1:8" ht="16.5" x14ac:dyDescent="0.3">
      <c r="A117" s="2" t="s">
        <v>141</v>
      </c>
      <c r="B117" s="2" t="s">
        <v>385</v>
      </c>
      <c r="C117" t="s">
        <v>283</v>
      </c>
    </row>
    <row r="118" spans="1:8" ht="16.5" x14ac:dyDescent="0.3">
      <c r="A118" s="2" t="s">
        <v>302</v>
      </c>
      <c r="B118" s="2" t="s">
        <v>386</v>
      </c>
      <c r="C118" t="s">
        <v>327</v>
      </c>
    </row>
    <row r="119" spans="1:8" ht="16.5" x14ac:dyDescent="0.3">
      <c r="A119" s="2" t="s">
        <v>303</v>
      </c>
      <c r="B119" s="2" t="s">
        <v>387</v>
      </c>
      <c r="C119" t="s">
        <v>328</v>
      </c>
      <c r="H119">
        <v>1</v>
      </c>
    </row>
    <row r="120" spans="1:8" ht="16.5" x14ac:dyDescent="0.3">
      <c r="A120" s="2" t="s">
        <v>304</v>
      </c>
      <c r="B120" s="2" t="s">
        <v>388</v>
      </c>
      <c r="C120" t="s">
        <v>329</v>
      </c>
    </row>
    <row r="121" spans="1:8" ht="16.5" x14ac:dyDescent="0.3">
      <c r="A121" s="2" t="s">
        <v>305</v>
      </c>
      <c r="B121" s="2" t="s">
        <v>389</v>
      </c>
      <c r="C121" t="s">
        <v>330</v>
      </c>
    </row>
    <row r="122" spans="1:8" ht="16.5" x14ac:dyDescent="0.3">
      <c r="A122" s="2" t="s">
        <v>306</v>
      </c>
      <c r="B122" s="2" t="s">
        <v>390</v>
      </c>
      <c r="C122" t="s">
        <v>331</v>
      </c>
    </row>
    <row r="123" spans="1:8" ht="16.5" x14ac:dyDescent="0.3">
      <c r="A123" s="2" t="s">
        <v>307</v>
      </c>
      <c r="B123" s="2" t="s">
        <v>391</v>
      </c>
      <c r="C123" t="s">
        <v>332</v>
      </c>
    </row>
    <row r="124" spans="1:8" ht="16.5" x14ac:dyDescent="0.3">
      <c r="A124" s="2" t="s">
        <v>308</v>
      </c>
      <c r="B124" s="2" t="s">
        <v>392</v>
      </c>
      <c r="C124" t="s">
        <v>333</v>
      </c>
    </row>
    <row r="125" spans="1:8" ht="16.5" x14ac:dyDescent="0.3">
      <c r="A125" s="2" t="s">
        <v>309</v>
      </c>
      <c r="B125" s="2" t="s">
        <v>353</v>
      </c>
      <c r="C125" t="s">
        <v>334</v>
      </c>
    </row>
    <row r="126" spans="1:8" ht="16.5" x14ac:dyDescent="0.3">
      <c r="A126" s="2" t="s">
        <v>110</v>
      </c>
      <c r="B126" s="2" t="s">
        <v>245</v>
      </c>
      <c r="C126" t="s">
        <v>259</v>
      </c>
    </row>
    <row r="127" spans="1:8" ht="16.5" x14ac:dyDescent="0.3">
      <c r="A127" s="5" t="s">
        <v>82</v>
      </c>
      <c r="B127" s="2" t="s">
        <v>227</v>
      </c>
      <c r="C127" t="s">
        <v>217</v>
      </c>
      <c r="D127" t="s">
        <v>339</v>
      </c>
    </row>
    <row r="129" spans="1:3" ht="91.7" customHeight="1" x14ac:dyDescent="0.3">
      <c r="A129" s="13" t="s">
        <v>395</v>
      </c>
      <c r="B129" s="1" t="s">
        <v>408</v>
      </c>
      <c r="C129" s="1" t="s">
        <v>412</v>
      </c>
    </row>
    <row r="130" spans="1:3" ht="60" x14ac:dyDescent="0.25">
      <c r="A130" s="1" t="s">
        <v>396</v>
      </c>
      <c r="B130" s="1" t="s">
        <v>417</v>
      </c>
      <c r="C130" s="1" t="s">
        <v>413</v>
      </c>
    </row>
    <row r="131" spans="1:3" x14ac:dyDescent="0.25">
      <c r="A131" t="s">
        <v>397</v>
      </c>
      <c r="B131" t="s">
        <v>409</v>
      </c>
      <c r="C131" t="s">
        <v>414</v>
      </c>
    </row>
    <row r="132" spans="1:3" x14ac:dyDescent="0.25">
      <c r="A132" t="s">
        <v>398</v>
      </c>
      <c r="B132" t="s">
        <v>410</v>
      </c>
      <c r="C132" t="s">
        <v>415</v>
      </c>
    </row>
    <row r="133" spans="1:3" x14ac:dyDescent="0.25">
      <c r="A133" t="s">
        <v>399</v>
      </c>
      <c r="B133" t="s">
        <v>411</v>
      </c>
      <c r="C133" t="s">
        <v>416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FR-BO</vt:lpstr>
      <vt:lpstr>Texte</vt:lpstr>
      <vt:lpstr>'FR-BO'!Druckbereich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Gumbinger, Hermann</dc:creator>
  <cp:lastModifiedBy>Gumbinger, Hermann</cp:lastModifiedBy>
  <cp:lastPrinted>2023-12-05T07:02:12Z</cp:lastPrinted>
  <dcterms:created xsi:type="dcterms:W3CDTF">2023-11-28T13:11:30Z</dcterms:created>
  <dcterms:modified xsi:type="dcterms:W3CDTF">2023-12-05T07:09:54Z</dcterms:modified>
</cp:coreProperties>
</file>